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3\Desktop\"/>
    </mc:Choice>
  </mc:AlternateContent>
  <xr:revisionPtr revIDLastSave="0" documentId="8_{8B63545A-86FE-4B22-81D5-01B060808156}" xr6:coauthVersionLast="46" xr6:coauthVersionMax="46" xr10:uidLastSave="{00000000-0000-0000-0000-000000000000}"/>
  <bookViews>
    <workbookView xWindow="-120" yWindow="-120" windowWidth="20730" windowHeight="11160" tabRatio="847" xr2:uid="{00000000-000D-0000-FFFF-FFFF00000000}"/>
  </bookViews>
  <sheets>
    <sheet name="postup" sheetId="16" r:id="rId1"/>
    <sheet name="2019-ÚČ" sheetId="54" r:id="rId2"/>
    <sheet name="2018-ÚČ" sheetId="52" r:id="rId3"/>
    <sheet name="2017-ÚČ" sheetId="51" r:id="rId4"/>
    <sheet name="2016-ÚČ" sheetId="45" r:id="rId5"/>
    <sheet name="2015-ÚČ" sheetId="43" r:id="rId6"/>
    <sheet name="2014-ÚČ" sheetId="29" r:id="rId7"/>
    <sheet name="2019-DE" sheetId="55" r:id="rId8"/>
    <sheet name="2018-DE" sheetId="53" r:id="rId9"/>
    <sheet name="2017-DE" sheetId="50" r:id="rId10"/>
    <sheet name="2016-DE" sheetId="47" r:id="rId11"/>
    <sheet name="2015-DE" sheetId="44" r:id="rId12"/>
    <sheet name="PomocnyMCA" sheetId="4" state="veryHidden" r:id="rId13"/>
    <sheet name="2014-DE" sheetId="42" r:id="rId14"/>
    <sheet name="bodování" sheetId="3" r:id="rId15"/>
  </sheets>
  <definedNames>
    <definedName name="_xlnm.Print_Area" localSheetId="13">'2014-DE'!$A$1:$I$15</definedName>
  </definedNames>
  <calcPr calcId="181029"/>
</workbook>
</file>

<file path=xl/calcChain.xml><?xml version="1.0" encoding="utf-8"?>
<calcChain xmlns="http://schemas.openxmlformats.org/spreadsheetml/2006/main">
  <c r="I15" i="44" l="1"/>
  <c r="H15" i="44"/>
  <c r="J15" i="43"/>
  <c r="I15" i="43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I16" i="55" l="1"/>
  <c r="J16" i="54"/>
  <c r="I15" i="52"/>
  <c r="I15" i="53"/>
  <c r="H15" i="53" l="1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H24" i="3" l="1"/>
  <c r="H15" i="3"/>
  <c r="J16" i="52"/>
  <c r="I14" i="44"/>
  <c r="I14" i="47"/>
  <c r="I14" i="50"/>
  <c r="H9" i="3" l="1"/>
  <c r="H15" i="50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6" i="3" l="1"/>
  <c r="H21" i="3"/>
  <c r="H12" i="3"/>
  <c r="H25" i="3"/>
  <c r="H18" i="3"/>
  <c r="H10" i="3"/>
  <c r="H6" i="3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4" l="1"/>
  <c r="I16" i="47"/>
  <c r="J16" i="43"/>
  <c r="J16" i="45"/>
  <c r="H17" i="3" l="1"/>
  <c r="H13" i="3"/>
  <c r="H26" i="3"/>
  <c r="H22" i="3"/>
  <c r="H19" i="3"/>
  <c r="I9" i="3"/>
  <c r="H11" i="3"/>
  <c r="I11" i="3" s="1"/>
  <c r="H7" i="3"/>
  <c r="I7" i="3" s="1"/>
  <c r="H8" i="3"/>
  <c r="I8" i="3" s="1"/>
  <c r="H23" i="3"/>
  <c r="I23" i="3" s="1"/>
  <c r="H14" i="3"/>
  <c r="H20" i="3"/>
  <c r="I20" i="3" s="1"/>
  <c r="I18" i="3"/>
  <c r="I21" i="3"/>
  <c r="I15" i="3"/>
  <c r="I12" i="3"/>
  <c r="I24" i="3"/>
  <c r="I6" i="3"/>
  <c r="I13" i="3"/>
  <c r="I14" i="3"/>
  <c r="I17" i="3"/>
  <c r="I25" i="3"/>
  <c r="I16" i="3"/>
  <c r="I26" i="3"/>
  <c r="I19" i="3"/>
  <c r="I22" i="3"/>
  <c r="I10" i="3"/>
</calcChain>
</file>

<file path=xl/sharedStrings.xml><?xml version="1.0" encoding="utf-8"?>
<sst xmlns="http://schemas.openxmlformats.org/spreadsheetml/2006/main" count="1092" uniqueCount="336">
  <si>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</si>
  <si>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</si>
  <si>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</si>
  <si>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</si>
  <si>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</si>
  <si>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</si>
  <si>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</si>
  <si>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</si>
  <si>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</si>
  <si>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</si>
  <si>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</si>
  <si>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</si>
  <si>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</si>
  <si>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</si>
  <si>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</si>
  <si>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</si>
  <si>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</si>
  <si>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</si>
  <si>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</si>
  <si>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</si>
  <si>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</si>
  <si>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</si>
  <si>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</si>
  <si>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</si>
  <si>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</si>
  <si>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</si>
  <si>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</si>
  <si>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</si>
  <si>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</si>
  <si>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</si>
  <si>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</si>
  <si>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</si>
  <si>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</si>
  <si>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</si>
  <si>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</si>
  <si>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</si>
  <si>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</si>
  <si>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</si>
  <si>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</si>
  <si>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</si>
  <si>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</si>
  <si>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</si>
  <si>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</si>
  <si>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</si>
  <si>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</si>
  <si>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</si>
  <si>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</si>
  <si>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</si>
  <si>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</si>
  <si>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</si>
  <si>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</si>
  <si>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</si>
  <si>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</si>
  <si>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</si>
  <si>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</si>
  <si>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</si>
  <si>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</si>
  <si>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</si>
  <si>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</si>
  <si>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</si>
  <si>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</si>
  <si>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</si>
  <si>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</si>
  <si>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</si>
  <si>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</si>
  <si>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</si>
  <si>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</si>
  <si>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</si>
  <si>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</si>
  <si>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</si>
  <si>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</si>
  <si>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</si>
  <si>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</si>
  <si>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</si>
  <si>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</si>
  <si>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</si>
  <si>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</si>
  <si>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</si>
  <si>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</si>
  <si>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</si>
  <si>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</si>
  <si>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</si>
  <si>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</si>
  <si>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</si>
  <si>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</si>
  <si>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</si>
  <si>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</si>
  <si>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</si>
  <si>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</si>
  <si>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</si>
  <si>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</si>
  <si>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</si>
  <si>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</si>
  <si>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</si>
  <si>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</si>
  <si>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</si>
  <si>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</si>
  <si>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</si>
  <si>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</si>
  <si>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</si>
  <si>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</si>
  <si>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</si>
  <si>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</si>
  <si>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</si>
  <si>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</si>
  <si>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</si>
  <si>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</si>
  <si>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</si>
  <si>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</si>
  <si>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</si>
  <si>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</si>
  <si>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</si>
  <si>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</si>
  <si>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</si>
  <si>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</si>
  <si>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</si>
  <si>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</si>
  <si>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</si>
  <si>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</si>
  <si>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</si>
  <si>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</si>
  <si>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</si>
  <si>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</si>
  <si>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</si>
  <si>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</si>
  <si>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</si>
  <si>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</si>
  <si>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</si>
  <si>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</si>
  <si>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</si>
  <si>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</si>
  <si>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</si>
  <si>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</si>
  <si>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</si>
  <si>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</si>
  <si>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</si>
  <si>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</si>
  <si>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</si>
  <si>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</si>
  <si>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</si>
  <si>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</si>
  <si>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</si>
  <si>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</si>
  <si>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</si>
  <si>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</si>
  <si>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</si>
  <si>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</si>
  <si>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</si>
  <si>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</si>
  <si>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</si>
  <si>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</si>
  <si>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</si>
  <si>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</si>
  <si>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</si>
  <si>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</si>
  <si>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</si>
  <si>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</si>
  <si>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</si>
  <si>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</si>
  <si>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</si>
  <si>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</si>
  <si>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</si>
  <si>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</si>
  <si>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</si>
  <si>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</si>
  <si>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</si>
  <si>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</si>
  <si>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</si>
  <si>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</si>
  <si>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</si>
  <si>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</si>
  <si>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</si>
  <si>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</si>
  <si>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</si>
  <si>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</si>
  <si>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</si>
  <si>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</si>
  <si>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</si>
  <si>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</si>
  <si>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</si>
  <si>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</si>
  <si>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</si>
  <si>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</si>
  <si>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</si>
  <si>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</si>
  <si>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</si>
  <si>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</si>
  <si>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</si>
  <si>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</si>
  <si>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</si>
  <si>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</si>
  <si>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</si>
  <si>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</si>
  <si>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</si>
  <si>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</si>
  <si>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</si>
  <si>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</si>
  <si>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</si>
  <si>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</si>
  <si>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</si>
  <si>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</si>
  <si>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</si>
  <si>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</si>
  <si>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</si>
  <si>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</si>
  <si>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</si>
  <si>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</si>
  <si>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</si>
  <si>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</si>
  <si>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</si>
  <si>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</si>
  <si>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</si>
  <si>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</si>
  <si>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</si>
  <si>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</si>
  <si>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</si>
  <si>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</si>
  <si>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</si>
  <si>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</si>
  <si>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</si>
  <si>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</si>
  <si>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</si>
  <si>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</si>
  <si>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</si>
  <si>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</si>
  <si>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</si>
  <si>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</si>
  <si>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</si>
  <si>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</si>
  <si>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</si>
  <si>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</si>
  <si>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</si>
  <si>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</si>
  <si>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</si>
  <si>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</si>
  <si>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</si>
  <si>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</si>
  <si>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</si>
  <si>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</si>
  <si>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</si>
  <si>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</si>
  <si>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</si>
  <si>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</si>
  <si>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</si>
  <si>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</si>
  <si>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</si>
  <si>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</si>
  <si>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</si>
  <si>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</si>
  <si>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</si>
  <si>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</si>
  <si>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</si>
  <si>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</si>
  <si>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</si>
  <si>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</si>
  <si>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</si>
  <si>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</si>
  <si>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</si>
  <si>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</si>
  <si>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</si>
  <si>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</si>
  <si>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</si>
  <si>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</si>
  <si>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</si>
  <si>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</si>
  <si>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</si>
  <si>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</si>
  <si>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</si>
  <si>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</si>
  <si>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</si>
  <si>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</si>
  <si>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</si>
  <si>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</si>
  <si>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</si>
  <si>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</si>
  <si>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</si>
  <si>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</si>
  <si>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</si>
  <si>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</si>
  <si>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</si>
  <si>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</si>
  <si>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</si>
  <si>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</si>
  <si>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</si>
  <si>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</si>
  <si>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</si>
  <si>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</si>
  <si>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</si>
  <si>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</si>
  <si>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</si>
  <si>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</si>
  <si>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</si>
  <si>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</si>
  <si>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</si>
  <si>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</si>
  <si>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</si>
  <si>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</si>
  <si>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</si>
  <si>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</si>
  <si>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</si>
  <si>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</si>
  <si>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</si>
  <si>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</si>
  <si>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</si>
  <si>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</si>
  <si>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</si>
  <si>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</si>
  <si>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</si>
  <si>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</si>
  <si>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</si>
  <si>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dle příslušných roků (lze i např.: rok 2016 - daňová evidence a roky 2017, 2018 - účetnictví, tj. žadatel přešel z</t>
  </si>
  <si>
    <t>z přiznání k dani z příjmů fyzických osob u žadatelů s daňovou evidencí</t>
  </si>
  <si>
    <t xml:space="preserve">Pokud je např. finanční zdraví hodnoceno za období 2018, 2017 a 2016, je nutné ještě vyplnit informace o dl. </t>
  </si>
  <si>
    <t>majetku za předchozí období 2015 (účetnictví: dlouhodobý majetek, daňová evidence: hmotný majetek, dlouhodobý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</si>
  <si>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</si>
  <si>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</si>
  <si>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</si>
  <si>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</si>
  <si>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</si>
  <si>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>2019-ÚČ, 2018-ÚČ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</si>
  <si>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</si>
  <si>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</si>
  <si>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</si>
  <si>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</si>
  <si>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</si>
  <si>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</si>
  <si>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</si>
  <si>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</si>
  <si>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</si>
  <si>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</si>
  <si>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daňovou evidenci roky 2018, 2017</t>
  </si>
  <si>
    <t>za účetnictví roky 2019, 2018 a daňovou evidenci rok 2017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</si>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</sst>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A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A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A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B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B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B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/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7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2"/>
      <c r="C2" s="73"/>
      <c r="D2" s="73"/>
      <c r="E2" s="73"/>
      <c r="F2" s="74"/>
      <c r="G2" s="75"/>
      <c r="H2" s="76"/>
      <c r="I2" s="77"/>
      <c r="J2" s="73"/>
      <c r="K2" s="73"/>
      <c r="L2" s="73"/>
      <c r="M2" s="78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2"/>
      <c r="C3" s="56"/>
      <c r="D3" s="56"/>
      <c r="E3" s="56"/>
      <c r="F3" s="79" t="s">
        <v>98</v>
      </c>
      <c r="G3" s="80"/>
      <c r="H3" s="80"/>
      <c r="I3" s="81"/>
      <c r="J3" s="57"/>
      <c r="K3" s="57"/>
      <c r="L3" s="57"/>
      <c r="M3" s="82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3"/>
      <c r="C4" s="10"/>
      <c r="D4" s="10"/>
      <c r="E4" s="10"/>
      <c r="F4" s="10"/>
      <c r="G4" s="10"/>
      <c r="H4" s="10"/>
      <c r="I4" s="10"/>
      <c r="J4" s="10"/>
      <c r="K4" s="10"/>
      <c r="L4" s="10"/>
      <c r="M4" s="84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5"/>
      <c r="C5" s="86" t="s">
        <v>115</v>
      </c>
      <c r="D5" s="86"/>
      <c r="E5" s="86"/>
      <c r="F5" s="86"/>
      <c r="G5" s="86"/>
      <c r="H5" s="86"/>
      <c r="I5" s="86"/>
      <c r="J5" s="86"/>
      <c r="K5" s="86"/>
      <c r="L5" s="86"/>
      <c r="M5" s="87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5"/>
      <c r="C6" s="86" t="s">
        <v>311</v>
      </c>
      <c r="D6" s="86"/>
      <c r="E6" s="86"/>
      <c r="F6" s="86"/>
      <c r="G6" s="86"/>
      <c r="H6" s="86"/>
      <c r="I6" s="86"/>
      <c r="J6" s="86"/>
      <c r="K6" s="86"/>
      <c r="L6" s="86"/>
      <c r="M6" s="87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5"/>
      <c r="C8" s="86" t="s">
        <v>252</v>
      </c>
      <c r="D8" s="86"/>
      <c r="E8" s="86"/>
      <c r="F8" s="86"/>
      <c r="G8" s="86"/>
      <c r="H8" s="86"/>
      <c r="I8" s="86"/>
      <c r="J8" s="86"/>
      <c r="K8" s="86"/>
      <c r="L8" s="86"/>
      <c r="M8" s="87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5"/>
      <c r="C9" s="71" t="s">
        <v>250</v>
      </c>
      <c r="D9" s="29"/>
      <c r="E9" s="29"/>
      <c r="F9" s="29"/>
      <c r="G9" s="29"/>
      <c r="H9" s="29"/>
      <c r="I9" s="29"/>
      <c r="J9" s="29"/>
      <c r="K9" s="29"/>
      <c r="L9" s="29"/>
      <c r="M9" s="88"/>
      <c r="N9" s="32"/>
      <c r="O9" s="32"/>
      <c r="P9" s="32"/>
      <c r="Q9" s="14"/>
      <c r="R9" s="14"/>
      <c r="S9" s="14"/>
      <c r="T9" s="7"/>
      <c r="U9" s="8"/>
    </row>
    <row r="10" spans="1:21" ht="14.25" x14ac:dyDescent="0.2">
      <c r="A10" s="14"/>
      <c r="B10" s="85"/>
      <c r="C10" s="71" t="s">
        <v>251</v>
      </c>
      <c r="D10" s="29"/>
      <c r="E10" s="29"/>
      <c r="F10" s="29"/>
      <c r="G10" s="29"/>
      <c r="H10" s="29"/>
      <c r="I10" s="29"/>
      <c r="J10" s="29"/>
      <c r="K10" s="29"/>
      <c r="L10" s="29"/>
      <c r="M10" s="88"/>
      <c r="N10" s="32"/>
      <c r="O10" s="32"/>
      <c r="P10" s="32"/>
      <c r="Q10" s="14"/>
      <c r="R10" s="14"/>
      <c r="S10" s="14"/>
      <c r="T10" s="7"/>
      <c r="U10" s="8"/>
    </row>
    <row r="11" spans="1:21" ht="14.25" x14ac:dyDescent="0.2">
      <c r="A11" s="14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5"/>
      <c r="C12" s="89" t="s">
        <v>64</v>
      </c>
      <c r="D12" s="89"/>
      <c r="E12" s="86"/>
      <c r="F12" s="86"/>
      <c r="G12" s="86"/>
      <c r="H12" s="86"/>
      <c r="I12" s="86"/>
      <c r="J12" s="86"/>
      <c r="K12" s="86"/>
      <c r="L12" s="86"/>
      <c r="M12" s="87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5"/>
      <c r="C13" s="89" t="s">
        <v>95</v>
      </c>
      <c r="D13" s="89"/>
      <c r="E13" s="86"/>
      <c r="F13" s="86"/>
      <c r="G13" s="86"/>
      <c r="H13" s="86"/>
      <c r="I13" s="86"/>
      <c r="J13" s="102" t="s">
        <v>92</v>
      </c>
      <c r="K13" s="86" t="s">
        <v>96</v>
      </c>
      <c r="L13" s="103" t="s">
        <v>116</v>
      </c>
      <c r="M13" s="90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5"/>
      <c r="C14" s="89" t="s">
        <v>310</v>
      </c>
      <c r="D14" s="89"/>
      <c r="E14" s="86"/>
      <c r="F14" s="86"/>
      <c r="G14" s="86"/>
      <c r="H14" s="86"/>
      <c r="I14" s="86"/>
      <c r="J14" s="86"/>
      <c r="K14" s="86"/>
      <c r="L14" s="86"/>
      <c r="M14" s="87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5"/>
      <c r="C15" s="89" t="s">
        <v>117</v>
      </c>
      <c r="D15" s="89"/>
      <c r="E15" s="86"/>
      <c r="F15" s="86"/>
      <c r="G15" s="86"/>
      <c r="H15" s="86"/>
      <c r="I15" s="86"/>
      <c r="J15" s="86"/>
      <c r="K15" s="86"/>
      <c r="L15" s="86"/>
      <c r="M15" s="87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5"/>
      <c r="C16" s="192" t="s">
        <v>312</v>
      </c>
      <c r="M16" s="87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5"/>
      <c r="C17" s="193" t="s">
        <v>313</v>
      </c>
      <c r="M17" s="87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5"/>
      <c r="C18" s="193" t="s">
        <v>314</v>
      </c>
      <c r="M18" s="90"/>
      <c r="N18" s="14"/>
      <c r="O18" s="14"/>
      <c r="P18" s="14"/>
      <c r="Q18" s="14"/>
      <c r="R18" s="14"/>
      <c r="S18" s="14"/>
      <c r="T18" s="7"/>
      <c r="U18" s="8"/>
    </row>
    <row r="19" spans="1:21" ht="14.25" x14ac:dyDescent="0.2">
      <c r="B19" s="85"/>
      <c r="M19" s="90"/>
    </row>
    <row r="20" spans="1:21" ht="14.25" x14ac:dyDescent="0.2">
      <c r="A20" s="14"/>
      <c r="B20" s="85"/>
      <c r="C20" s="89" t="s">
        <v>142</v>
      </c>
      <c r="D20" s="89"/>
      <c r="E20" s="86"/>
      <c r="F20" s="86"/>
      <c r="G20" s="86"/>
      <c r="H20" s="86"/>
      <c r="I20" s="86"/>
      <c r="J20" s="86"/>
      <c r="K20" s="86"/>
      <c r="L20" s="86"/>
      <c r="M20" s="87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B21" s="85"/>
      <c r="C21" s="89" t="s">
        <v>97</v>
      </c>
      <c r="D21" s="91" t="s">
        <v>65</v>
      </c>
      <c r="E21" s="86"/>
      <c r="F21" s="86"/>
      <c r="G21" s="86"/>
      <c r="H21" s="86"/>
      <c r="I21" s="86"/>
      <c r="J21" s="86"/>
      <c r="K21" s="86"/>
      <c r="L21" s="86"/>
      <c r="M21" s="87"/>
    </row>
    <row r="22" spans="1:21" ht="14.25" x14ac:dyDescent="0.2">
      <c r="B22" s="85"/>
      <c r="M22" s="90"/>
    </row>
    <row r="23" spans="1:21" ht="15" thickBot="1" x14ac:dyDescent="0.25">
      <c r="A23" s="1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14"/>
      <c r="O23" s="14"/>
      <c r="P23" s="14"/>
      <c r="Q23" s="14"/>
      <c r="R23" s="14"/>
      <c r="S23" s="14"/>
      <c r="T23" s="7"/>
      <c r="U23" s="8"/>
    </row>
    <row r="24" spans="1:21" ht="15" thickTop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2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306</v>
      </c>
      <c r="C2" s="13"/>
      <c r="D2" s="166"/>
      <c r="E2" s="161"/>
      <c r="F2" s="13"/>
      <c r="G2" s="27" t="s">
        <v>267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(((D6+D7+D10+D13)-('2016-DE'!D6+'2016-DE'!D7+'2016-DE'!D10+'2016-DE'!D13)+D22)/('2016-DE'!D6+'2016-DE'!D7+'2016-DE'!D10+'2016-DE'!D13))*100</f>
        <v>#DIV/0!</v>
      </c>
      <c r="I15" s="109">
        <f>IF(AND((D6+D7+D10+D13)=0,D22=0,('2016-DE'!D6+'2016-DE'!D7+'2016-DE'!D10+'2016-DE'!D13)=0),0, IF(('2016-DE'!D6+'2016-DE'!D7+'2016-DE'!D10+'2016-DE'!D13)=0,3,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268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307</v>
      </c>
      <c r="C2" s="13"/>
      <c r="D2" s="166"/>
      <c r="E2" s="161"/>
      <c r="F2" s="13"/>
      <c r="G2" s="27" t="s">
        <v>223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(((D6+D7+D10+D13)-('2015-DE'!D6+'2015-DE'!D7+'2015-DE'!D10+'2015-DE'!D13)+D22)/('2015-DE'!D6+'2015-DE'!D7+'2015-DE'!D10+'2015-DE'!D13))*100</f>
        <v>#DIV/0!</v>
      </c>
      <c r="I15" s="109">
        <f>IF(AND((D6+D7+D10+D13)=0,D22=0,('2015-DE'!D6+'2015-DE'!D7+'2015-DE'!D10+'2015-DE'!D13)=0),0, IF(('2015-DE'!D6+'2015-DE'!D7+'2015-DE'!D10+'2015-DE'!D13)=0,3,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254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308</v>
      </c>
      <c r="C2" s="13"/>
      <c r="D2" s="166"/>
      <c r="E2" s="161"/>
      <c r="F2" s="13"/>
      <c r="G2" s="27" t="s">
        <v>143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107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(((D6+D7+D10+D13)-('2014-DE'!D6+'2014-DE'!D7+'2014-DE'!D8+'2014-DE'!D9)+D22)/('2014-DE'!D6+'2014-DE'!D7+'2014-DE'!D8+'2014-DE'!D9))*100</f>
        <v>#DIV/0!</v>
      </c>
      <c r="I15" s="109">
        <f>IF(AND((D6+D7+D10+D13)=0,D22=0,('2014-DE'!D6+'2014-DE'!D7+'2014-DE'!D8+'2014-DE'!D9)=0),0, IF(('2014-DE'!D6+'2014-DE'!D7+'2014-DE'!D8+'2014-DE'!D9)=0,3,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144</v>
      </c>
      <c r="H16" s="25"/>
      <c r="I16" s="26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114"/>
      <c r="G1" s="114"/>
      <c r="H1" s="114"/>
      <c r="I1" s="114"/>
      <c r="J1" s="114"/>
      <c r="K1" s="8"/>
      <c r="L1" s="8"/>
    </row>
    <row r="2" spans="1:99" ht="14.25" x14ac:dyDescent="0.2">
      <c r="A2" s="8"/>
      <c r="B2" s="27" t="s">
        <v>309</v>
      </c>
      <c r="C2" s="13"/>
      <c r="D2" s="166"/>
      <c r="E2" s="161"/>
      <c r="F2" s="29"/>
      <c r="G2" s="60"/>
      <c r="H2" s="29"/>
      <c r="I2" s="29"/>
      <c r="J2" s="2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4.25" x14ac:dyDescent="0.2">
      <c r="A3" s="11"/>
      <c r="B3" s="59"/>
      <c r="C3" s="9"/>
      <c r="D3" s="172"/>
      <c r="E3" s="172"/>
      <c r="F3" s="29"/>
      <c r="G3" s="60"/>
      <c r="H3" s="29"/>
      <c r="I3" s="29"/>
      <c r="J3" s="2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Bot="1" x14ac:dyDescent="0.25">
      <c r="A4" s="8"/>
      <c r="B4" s="7"/>
      <c r="C4" s="7"/>
      <c r="D4" s="161"/>
      <c r="E4" s="161"/>
      <c r="F4" s="29"/>
      <c r="G4" s="29"/>
      <c r="H4" s="29"/>
      <c r="I4" s="29"/>
      <c r="J4" s="2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15"/>
      <c r="G5" s="115"/>
      <c r="H5" s="116"/>
      <c r="I5" s="117"/>
      <c r="J5" s="2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112"/>
      <c r="G6" s="29"/>
      <c r="H6" s="111"/>
      <c r="I6" s="112"/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112"/>
      <c r="G7" s="29"/>
      <c r="H7" s="111"/>
      <c r="I7" s="112"/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99" t="s">
        <v>110</v>
      </c>
      <c r="C8" s="98"/>
      <c r="D8" s="163"/>
      <c r="E8" s="161"/>
      <c r="F8" s="112"/>
      <c r="G8" s="29"/>
      <c r="H8" s="113"/>
      <c r="I8" s="112"/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7" t="s">
        <v>108</v>
      </c>
      <c r="C9" s="18" t="s">
        <v>72</v>
      </c>
      <c r="D9" s="165"/>
      <c r="E9" s="161"/>
      <c r="F9" s="112"/>
      <c r="G9" s="29"/>
      <c r="H9" s="111"/>
      <c r="I9" s="112"/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28"/>
      <c r="D10" s="177"/>
      <c r="E10" s="161"/>
      <c r="F10" s="118"/>
      <c r="G10" s="119"/>
      <c r="H10" s="119"/>
      <c r="I10" s="115"/>
      <c r="J10" s="2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0"/>
      <c r="C11" s="121"/>
      <c r="D11" s="182"/>
      <c r="E11" s="161"/>
      <c r="F11" s="29"/>
      <c r="G11" s="29"/>
      <c r="H11" s="29"/>
      <c r="I11" s="29"/>
      <c r="J11" s="2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29"/>
      <c r="C12" s="31"/>
      <c r="D12" s="183"/>
      <c r="E12" s="161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29"/>
      <c r="C13" s="31"/>
      <c r="D13" s="183"/>
      <c r="E13" s="161"/>
      <c r="F13" s="8"/>
      <c r="G13" s="38" t="s">
        <v>84</v>
      </c>
      <c r="H13" s="39"/>
      <c r="I13" s="35"/>
      <c r="J13" s="35"/>
      <c r="K13" s="35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29"/>
      <c r="C14" s="31"/>
      <c r="D14" s="183"/>
      <c r="E14" s="161"/>
      <c r="F14" s="8"/>
      <c r="G14" s="40" t="s">
        <v>105</v>
      </c>
      <c r="H14" s="41"/>
      <c r="I14" s="35"/>
      <c r="J14" s="35"/>
      <c r="K14" s="35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28"/>
      <c r="D15" s="177"/>
      <c r="E15" s="178"/>
      <c r="F15" s="7"/>
      <c r="G15" s="42" t="s">
        <v>106</v>
      </c>
      <c r="H15" s="43"/>
      <c r="I15" s="37"/>
      <c r="J15" s="37"/>
      <c r="K15" s="35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28"/>
      <c r="D16" s="177"/>
      <c r="E16" s="18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28"/>
      <c r="D17" s="177"/>
      <c r="E17" s="180"/>
      <c r="F17" s="7"/>
      <c r="G17" s="10" t="s">
        <v>111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29"/>
      <c r="C18" s="31"/>
      <c r="D18" s="181"/>
      <c r="E18" s="180"/>
      <c r="F18" s="7"/>
      <c r="G18" s="10" t="s">
        <v>112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29"/>
      <c r="C19" s="31"/>
      <c r="D19" s="181"/>
      <c r="E19" s="18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29"/>
      <c r="C20" s="31"/>
      <c r="D20" s="181"/>
      <c r="E20" s="18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29"/>
      <c r="C21" s="31"/>
      <c r="D21" s="181"/>
      <c r="E21" s="18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29"/>
      <c r="C22" s="31"/>
      <c r="D22" s="181"/>
      <c r="E22" s="18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29"/>
      <c r="C23" s="31"/>
      <c r="D23" s="181"/>
      <c r="E23" s="18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29"/>
      <c r="C24" s="31"/>
      <c r="D24" s="181"/>
      <c r="E24" s="18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29"/>
      <c r="C25" s="31"/>
      <c r="D25" s="181"/>
      <c r="E25" s="18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9"/>
      <c r="C26" s="31"/>
      <c r="D26" s="181"/>
      <c r="E26" s="18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9"/>
      <c r="C27" s="31"/>
      <c r="D27" s="181"/>
      <c r="E27" s="18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9"/>
      <c r="C28" s="32"/>
      <c r="D28" s="180"/>
      <c r="E28" s="18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9"/>
      <c r="C29" s="32"/>
      <c r="D29" s="180"/>
      <c r="E29" s="18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1"/>
      <c r="E30" s="161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1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1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1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1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1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1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1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1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1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1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1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1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B1" sqref="B1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48" t="s">
        <v>93</v>
      </c>
      <c r="C2" s="27"/>
      <c r="D2" s="27"/>
      <c r="E2" s="7"/>
      <c r="F2" s="54" t="s">
        <v>94</v>
      </c>
      <c r="G2" s="55"/>
      <c r="H2" s="56"/>
      <c r="I2" s="57"/>
      <c r="J2" s="7"/>
      <c r="K2" s="7"/>
      <c r="L2" s="7"/>
      <c r="M2" s="5"/>
      <c r="N2" s="5"/>
    </row>
    <row r="3" spans="1:26" ht="15" thickBot="1" x14ac:dyDescent="0.25">
      <c r="A3" s="7"/>
      <c r="B3" s="58"/>
      <c r="C3" s="59"/>
      <c r="D3" s="59"/>
      <c r="E3" s="9"/>
      <c r="F3" s="60"/>
      <c r="G3" s="61"/>
      <c r="H3" s="62"/>
      <c r="I3" s="29"/>
      <c r="J3" s="147"/>
      <c r="K3" s="7"/>
      <c r="L3" s="7"/>
      <c r="M3" s="5"/>
      <c r="N3" s="5"/>
    </row>
    <row r="4" spans="1:26" ht="6.75" customHeight="1" thickTop="1" thickBot="1" x14ac:dyDescent="0.25">
      <c r="A4" s="29"/>
      <c r="E4" s="7"/>
      <c r="F4" s="64"/>
      <c r="G4" s="65"/>
      <c r="H4" s="66"/>
      <c r="I4" s="148"/>
      <c r="J4" s="149"/>
      <c r="K4" s="7"/>
      <c r="L4" s="7"/>
      <c r="M4" s="5"/>
      <c r="N4" s="5"/>
    </row>
    <row r="5" spans="1:26" ht="15" thickTop="1" x14ac:dyDescent="0.2">
      <c r="A5" s="60"/>
      <c r="B5" s="49" t="s">
        <v>55</v>
      </c>
      <c r="C5" s="50" t="s">
        <v>54</v>
      </c>
      <c r="D5" s="51" t="s">
        <v>255</v>
      </c>
      <c r="E5" s="7"/>
      <c r="F5" s="52" t="s">
        <v>60</v>
      </c>
      <c r="G5" s="63" t="s">
        <v>61</v>
      </c>
      <c r="H5" s="63" t="s">
        <v>62</v>
      </c>
      <c r="I5" s="143" t="s">
        <v>63</v>
      </c>
      <c r="J5" s="145" t="s">
        <v>253</v>
      </c>
      <c r="K5" s="7"/>
      <c r="L5" s="7"/>
      <c r="M5" s="5"/>
      <c r="N5" s="5"/>
    </row>
    <row r="6" spans="1:26" ht="14.25" x14ac:dyDescent="0.2">
      <c r="A6" s="7"/>
      <c r="B6" s="22" t="s">
        <v>59</v>
      </c>
      <c r="C6" s="154">
        <v>22</v>
      </c>
      <c r="D6" s="155">
        <v>30</v>
      </c>
      <c r="E6" s="7"/>
      <c r="F6" s="97">
        <v>3</v>
      </c>
      <c r="G6" s="96" t="s">
        <v>318</v>
      </c>
      <c r="H6" s="100">
        <f>('2019-ÚČ'!J16+'2018-ÚČ'!J16+'2017-ÚČ'!J16)/3</f>
        <v>3</v>
      </c>
      <c r="I6" s="144" t="str">
        <f t="shared" ref="I6:I26" si="0">IF(H6&lt;=6,$B$10,IF(H6&lt;=9,$B$9,IF(H6&lt;=14,$B$8,IF(H6&gt;22,$B$6,$B$7))))</f>
        <v>E - NE</v>
      </c>
      <c r="J6" s="146" t="s">
        <v>326</v>
      </c>
      <c r="K6" s="7"/>
      <c r="L6" s="7"/>
      <c r="M6" s="5"/>
      <c r="N6" s="5"/>
    </row>
    <row r="7" spans="1:26" ht="14.25" x14ac:dyDescent="0.2">
      <c r="A7" s="7"/>
      <c r="B7" s="22" t="s">
        <v>58</v>
      </c>
      <c r="C7" s="154">
        <v>14</v>
      </c>
      <c r="D7" s="155">
        <v>22</v>
      </c>
      <c r="E7" s="7"/>
      <c r="F7" s="97">
        <v>3</v>
      </c>
      <c r="G7" s="96" t="s">
        <v>288</v>
      </c>
      <c r="H7" s="100">
        <f>('2018-ÚČ'!J16+'2017-ÚČ'!J16+'2016-ÚČ'!J16)/3</f>
        <v>3</v>
      </c>
      <c r="I7" s="144" t="str">
        <f t="shared" si="0"/>
        <v>E - NE</v>
      </c>
      <c r="J7" s="146" t="s">
        <v>295</v>
      </c>
      <c r="K7" s="7"/>
      <c r="L7" s="7"/>
      <c r="M7" s="5"/>
      <c r="N7" s="5"/>
    </row>
    <row r="8" spans="1:26" ht="14.25" x14ac:dyDescent="0.2">
      <c r="A8" s="7"/>
      <c r="B8" s="22" t="s">
        <v>57</v>
      </c>
      <c r="C8" s="154">
        <v>9</v>
      </c>
      <c r="D8" s="155">
        <v>14</v>
      </c>
      <c r="E8" s="7"/>
      <c r="F8" s="97">
        <v>3</v>
      </c>
      <c r="G8" s="96" t="s">
        <v>256</v>
      </c>
      <c r="H8" s="20">
        <f>('2017-ÚČ'!J16+'2016-ÚČ'!J16+'2015-ÚČ'!J16)/3</f>
        <v>3</v>
      </c>
      <c r="I8" s="144" t="str">
        <f t="shared" si="0"/>
        <v>E - NE</v>
      </c>
      <c r="J8" s="146" t="s">
        <v>257</v>
      </c>
      <c r="K8" s="7"/>
      <c r="L8" s="7"/>
      <c r="M8" s="5"/>
      <c r="N8" s="5"/>
    </row>
    <row r="9" spans="1:26" ht="14.25" x14ac:dyDescent="0.2">
      <c r="A9" s="7"/>
      <c r="B9" s="52" t="s">
        <v>140</v>
      </c>
      <c r="C9" s="156">
        <v>6</v>
      </c>
      <c r="D9" s="157">
        <v>9</v>
      </c>
      <c r="E9" s="7"/>
      <c r="F9" s="97">
        <v>2</v>
      </c>
      <c r="G9" s="96" t="s">
        <v>319</v>
      </c>
      <c r="H9" s="20">
        <f>('2019-ÚČ'!J16+'2018-ÚČ'!J16)/2</f>
        <v>3</v>
      </c>
      <c r="I9" s="144" t="str">
        <f t="shared" si="0"/>
        <v>E - NE</v>
      </c>
      <c r="J9" s="146" t="s">
        <v>327</v>
      </c>
      <c r="K9" s="7"/>
      <c r="L9" s="7"/>
      <c r="M9" s="5"/>
      <c r="N9" s="5"/>
      <c r="X9" s="6"/>
    </row>
    <row r="10" spans="1:26" ht="15" thickBot="1" x14ac:dyDescent="0.25">
      <c r="A10" s="7"/>
      <c r="B10" s="185" t="s">
        <v>56</v>
      </c>
      <c r="C10" s="186">
        <v>0</v>
      </c>
      <c r="D10" s="187">
        <v>6</v>
      </c>
      <c r="E10" s="7"/>
      <c r="F10" s="97">
        <v>2</v>
      </c>
      <c r="G10" s="96" t="s">
        <v>320</v>
      </c>
      <c r="H10" s="20">
        <f>('2018-ÚČ'!J16+'2017-ÚČ'!J16)/2</f>
        <v>3</v>
      </c>
      <c r="I10" s="144" t="str">
        <f t="shared" si="0"/>
        <v>E - NE</v>
      </c>
      <c r="J10" s="146" t="s">
        <v>296</v>
      </c>
      <c r="K10" s="7"/>
      <c r="L10" s="7"/>
      <c r="M10" s="5"/>
      <c r="N10" s="5"/>
      <c r="X10" s="6"/>
    </row>
    <row r="11" spans="1:26" ht="15" thickTop="1" x14ac:dyDescent="0.2">
      <c r="A11" s="7"/>
      <c r="B11" s="115"/>
      <c r="C11" s="184"/>
      <c r="D11" s="184"/>
      <c r="E11" s="7"/>
      <c r="F11" s="138">
        <v>2</v>
      </c>
      <c r="G11" s="96" t="s">
        <v>289</v>
      </c>
      <c r="H11" s="20">
        <f>('2017-ÚČ'!J16+'2016-ÚČ'!J16)/2</f>
        <v>3</v>
      </c>
      <c r="I11" s="144" t="str">
        <f t="shared" si="0"/>
        <v>E - NE</v>
      </c>
      <c r="J11" s="146" t="s">
        <v>258</v>
      </c>
      <c r="K11" s="7"/>
      <c r="L11" s="7"/>
      <c r="M11" s="5"/>
      <c r="N11" s="5"/>
    </row>
    <row r="12" spans="1:26" ht="14.25" x14ac:dyDescent="0.2">
      <c r="A12" s="7"/>
      <c r="B12" s="115"/>
      <c r="C12" s="184"/>
      <c r="D12" s="184"/>
      <c r="E12" s="7"/>
      <c r="F12" s="97">
        <v>3</v>
      </c>
      <c r="G12" s="96" t="s">
        <v>321</v>
      </c>
      <c r="H12" s="20">
        <f>('2019-DE'!I16+'2018-DE'!I16+'2017-DE'!I16)/3</f>
        <v>6</v>
      </c>
      <c r="I12" s="144" t="str">
        <f t="shared" si="0"/>
        <v>E - NE</v>
      </c>
      <c r="J12" s="146" t="s">
        <v>328</v>
      </c>
      <c r="K12" s="7"/>
      <c r="L12" s="7"/>
      <c r="M12" s="5"/>
      <c r="N12" s="5"/>
    </row>
    <row r="13" spans="1:26" ht="14.25" x14ac:dyDescent="0.2">
      <c r="A13" s="7"/>
      <c r="B13" s="29"/>
      <c r="C13" s="29"/>
      <c r="D13" s="112"/>
      <c r="E13" s="7"/>
      <c r="F13" s="97">
        <v>3</v>
      </c>
      <c r="G13" s="96" t="s">
        <v>290</v>
      </c>
      <c r="H13" s="20">
        <f>('2018-DE'!I16+'2017-DE'!I16+'2016-DE'!I16)/3</f>
        <v>6</v>
      </c>
      <c r="I13" s="144" t="str">
        <f t="shared" si="0"/>
        <v>E - NE</v>
      </c>
      <c r="J13" s="146" t="s">
        <v>297</v>
      </c>
      <c r="K13" s="7"/>
      <c r="L13" s="7"/>
      <c r="M13" s="5"/>
      <c r="N13" s="5"/>
    </row>
    <row r="14" spans="1:26" ht="14.25" x14ac:dyDescent="0.2">
      <c r="A14" s="7"/>
      <c r="B14" s="29"/>
      <c r="C14" s="29"/>
      <c r="D14" s="112"/>
      <c r="E14" s="141"/>
      <c r="F14" s="135">
        <v>3</v>
      </c>
      <c r="G14" s="96" t="s">
        <v>259</v>
      </c>
      <c r="H14" s="20">
        <f>('2017-DE'!I16+'2016-DE'!I16+'2015-DE'!I16)/3</f>
        <v>6</v>
      </c>
      <c r="I14" s="144" t="str">
        <f t="shared" si="0"/>
        <v>E - NE</v>
      </c>
      <c r="J14" s="146" t="s">
        <v>260</v>
      </c>
      <c r="K14" s="7"/>
      <c r="L14" s="7"/>
      <c r="M14" s="5"/>
      <c r="N14" s="5"/>
    </row>
    <row r="15" spans="1:26" ht="14.25" x14ac:dyDescent="0.2">
      <c r="A15" s="7"/>
      <c r="D15" s="6"/>
      <c r="E15" s="141"/>
      <c r="F15" s="135">
        <v>2</v>
      </c>
      <c r="G15" s="96" t="s">
        <v>322</v>
      </c>
      <c r="H15" s="20">
        <f>('2019-DE'!I16+'2018-DE'!I16)/2</f>
        <v>6</v>
      </c>
      <c r="I15" s="144" t="str">
        <f t="shared" si="0"/>
        <v>E - NE</v>
      </c>
      <c r="J15" s="146" t="s">
        <v>329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4"/>
      <c r="B16" s="133"/>
      <c r="C16" s="136"/>
      <c r="D16" s="137"/>
      <c r="E16" s="141"/>
      <c r="F16" s="97">
        <v>2</v>
      </c>
      <c r="G16" s="96" t="s">
        <v>291</v>
      </c>
      <c r="H16" s="20">
        <f>('2018-DE'!I16+'2017-DE'!I16)/2</f>
        <v>6</v>
      </c>
      <c r="I16" s="144" t="str">
        <f t="shared" si="0"/>
        <v>E - NE</v>
      </c>
      <c r="J16" s="146" t="s">
        <v>330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1"/>
      <c r="F17" s="97">
        <v>2</v>
      </c>
      <c r="G17" s="96" t="s">
        <v>261</v>
      </c>
      <c r="H17" s="20">
        <f>('2017-DE'!I16+'2016-DE'!I16)/2</f>
        <v>6</v>
      </c>
      <c r="I17" s="144" t="str">
        <f t="shared" si="0"/>
        <v>E - NE</v>
      </c>
      <c r="J17" s="146" t="s">
        <v>262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1"/>
      <c r="F18" s="97">
        <v>3</v>
      </c>
      <c r="G18" s="96" t="s">
        <v>323</v>
      </c>
      <c r="H18" s="20">
        <f>('2019-ÚČ'!J16+'2018-ÚČ'!J16+'2017-DE'!I16)/3</f>
        <v>4</v>
      </c>
      <c r="I18" s="144" t="str">
        <f t="shared" si="0"/>
        <v>E - NE</v>
      </c>
      <c r="J18" s="146" t="s">
        <v>331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97">
        <v>3</v>
      </c>
      <c r="G19" s="96" t="s">
        <v>292</v>
      </c>
      <c r="H19" s="20">
        <f>('2018-ÚČ'!J16+'2017-ÚČ'!J16+'2016-DE'!I16)/3</f>
        <v>4</v>
      </c>
      <c r="I19" s="144" t="str">
        <f t="shared" si="0"/>
        <v>E - NE</v>
      </c>
      <c r="J19" s="146" t="s">
        <v>298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97">
        <v>3</v>
      </c>
      <c r="G20" s="96" t="s">
        <v>263</v>
      </c>
      <c r="H20" s="20">
        <f>('2017-ÚČ'!J16+'2016-ÚČ'!J16+'2015-DE'!I16)/3</f>
        <v>4</v>
      </c>
      <c r="I20" s="144" t="str">
        <f t="shared" si="0"/>
        <v>E - NE</v>
      </c>
      <c r="J20" s="146" t="s">
        <v>264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97">
        <v>3</v>
      </c>
      <c r="G21" s="96" t="s">
        <v>324</v>
      </c>
      <c r="H21" s="20">
        <f>('2019-ÚČ'!J16+'2018-DE'!I16+'2017-DE'!I16)/3</f>
        <v>5</v>
      </c>
      <c r="I21" s="144" t="str">
        <f>IF(H21&lt;=6,$B$10,IF(H21&lt;=9,$B$9,IF(H21&lt;=14,$B$8,IF(H21&gt;22,$B$6,$B$7))))</f>
        <v>E - NE</v>
      </c>
      <c r="J21" s="146" t="s">
        <v>332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97">
        <v>3</v>
      </c>
      <c r="G22" s="96" t="s">
        <v>293</v>
      </c>
      <c r="H22" s="20">
        <f>('2018-ÚČ'!J16+'2017-DE'!I16+'2016-DE'!I16)/3</f>
        <v>5</v>
      </c>
      <c r="I22" s="144" t="str">
        <f t="shared" si="0"/>
        <v>E - NE</v>
      </c>
      <c r="J22" s="146" t="s">
        <v>299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97">
        <v>3</v>
      </c>
      <c r="G23" s="96" t="s">
        <v>269</v>
      </c>
      <c r="H23" s="20">
        <f>('2017-ÚČ'!J16+'2016-DE'!I16+'2015-DE'!I16)/3</f>
        <v>5</v>
      </c>
      <c r="I23" s="144" t="str">
        <f t="shared" si="0"/>
        <v>E - NE</v>
      </c>
      <c r="J23" s="146" t="s">
        <v>270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97">
        <v>2</v>
      </c>
      <c r="G24" s="96" t="s">
        <v>325</v>
      </c>
      <c r="H24" s="20">
        <f>('2019-ÚČ'!J16+'2018-DE'!I16)/2</f>
        <v>4.5</v>
      </c>
      <c r="I24" s="144" t="str">
        <f t="shared" si="0"/>
        <v>E - NE</v>
      </c>
      <c r="J24" s="146" t="s">
        <v>333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97">
        <v>2</v>
      </c>
      <c r="G25" s="96" t="s">
        <v>294</v>
      </c>
      <c r="H25" s="20">
        <f>('2018-ÚČ'!J16+'2017-DE'!I16)/2</f>
        <v>4.5</v>
      </c>
      <c r="I25" s="144" t="str">
        <f t="shared" si="0"/>
        <v>E - NE</v>
      </c>
      <c r="J25" s="146" t="s">
        <v>300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39">
        <v>2</v>
      </c>
      <c r="G26" s="140" t="s">
        <v>265</v>
      </c>
      <c r="H26" s="53">
        <f>('2017-ÚČ'!J16+'2016-DE'!I16)/2</f>
        <v>4.5</v>
      </c>
      <c r="I26" s="189" t="str">
        <f t="shared" si="0"/>
        <v>E - NE</v>
      </c>
      <c r="J26" s="188" t="s">
        <v>266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315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199" t="s">
        <v>25</v>
      </c>
      <c r="D5" s="195" t="s">
        <v>26</v>
      </c>
      <c r="E5" s="162" t="s">
        <v>27</v>
      </c>
      <c r="F5" s="172"/>
      <c r="G5" s="196" t="s">
        <v>49</v>
      </c>
      <c r="H5" s="200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((E7-'2018-ÚČ'!E7+E41)/'2018-ÚČ'!E7)*100</f>
        <v>#DIV/0!</v>
      </c>
      <c r="J15" s="23">
        <f>IF(AND(E7=0,E41=0,'2018-ÚČ'!E7=0),0, IF('2018-ÚČ'!E7=0,3,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316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4" t="s">
        <v>173</v>
      </c>
      <c r="C32" s="199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3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275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204"/>
      <c r="F6" s="127"/>
      <c r="G6" s="22">
        <v>1</v>
      </c>
      <c r="H6" s="19" t="s">
        <v>18</v>
      </c>
      <c r="I6" s="20" t="e">
        <f>((E48+E42+E43+E44+E47)/E6)*100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272</v>
      </c>
      <c r="D7" s="150" t="s">
        <v>136</v>
      </c>
      <c r="E7" s="204"/>
      <c r="F7" s="127"/>
      <c r="G7" s="22">
        <v>2</v>
      </c>
      <c r="H7" s="19" t="s">
        <v>47</v>
      </c>
      <c r="I7" s="20" t="e">
        <f>((E17+E18+E19)/E6)*100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204"/>
      <c r="F8" s="127"/>
      <c r="G8" s="22">
        <v>3</v>
      </c>
      <c r="H8" s="19" t="s">
        <v>23</v>
      </c>
      <c r="I8" s="20" t="e">
        <f>((E34-E36)+(E33-E39-E40)-(E37+E38))/(E35)*100</f>
        <v>#DIV/0!</v>
      </c>
      <c r="J8" s="23">
        <f>IF((E35)&lt;=0,1,IF(I8&lt;15,1,IF(I8&gt;30,3,2)))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204"/>
      <c r="F9" s="127"/>
      <c r="G9" s="22">
        <v>4</v>
      </c>
      <c r="H9" s="19" t="s">
        <v>22</v>
      </c>
      <c r="I9" s="20" t="e">
        <f>((E50+E41+E45+E46)/(E34+E33-E39-E40))*100</f>
        <v>#DIV/0!</v>
      </c>
      <c r="J9" s="23">
        <f>IF(E50+E41+E45+E46&lt;=0,0, IF(E34+E33-E39-E40&lt;=0,0,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204"/>
      <c r="F10" s="127"/>
      <c r="G10" s="22">
        <v>5</v>
      </c>
      <c r="H10" s="19" t="s">
        <v>24</v>
      </c>
      <c r="I10" s="20" t="e">
        <f>((E20-E22-E26-E21)/E16)*100</f>
        <v>#DIV/0!</v>
      </c>
      <c r="J10" s="23">
        <f>IF(E16&lt;=0,0,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204"/>
      <c r="F11" s="127"/>
      <c r="G11" s="22">
        <v>6</v>
      </c>
      <c r="H11" s="19" t="s">
        <v>19</v>
      </c>
      <c r="I11" s="20" t="e">
        <f>(E48+E42+E43+E44+E47)/E49</f>
        <v>#DIV/0!</v>
      </c>
      <c r="J11" s="23">
        <f>IF(AND(E49=0,(E48+E42+E43+E44+E47)&lt;=0),0, IF(E49=0,3,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273</v>
      </c>
      <c r="C12" s="123" t="s">
        <v>192</v>
      </c>
      <c r="D12" s="150" t="s">
        <v>238</v>
      </c>
      <c r="E12" s="204"/>
      <c r="F12" s="127"/>
      <c r="G12" s="22">
        <v>7</v>
      </c>
      <c r="H12" s="19" t="s">
        <v>21</v>
      </c>
      <c r="I12" s="20" t="e">
        <f>(E20-E22-E26-E21-(E13+E14))/(E50+E41+E45+E46)</f>
        <v>#DIV/0!</v>
      </c>
      <c r="J12" s="23">
        <f>IF((E50+E41+E45+E46)&lt;=0,0,IF(I12&lt;5,3,IF(I12&gt;7,1,2)))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179</v>
      </c>
      <c r="C13" s="123" t="s">
        <v>12</v>
      </c>
      <c r="D13" s="150" t="s">
        <v>277</v>
      </c>
      <c r="E13" s="204"/>
      <c r="F13" s="127"/>
      <c r="G13" s="22">
        <v>8</v>
      </c>
      <c r="H13" s="19" t="s">
        <v>20</v>
      </c>
      <c r="I13" s="20" t="e">
        <f>(E8+E15+E12-E23-E24-E25-E28-E27-E22)/E9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152</v>
      </c>
      <c r="C14" s="123" t="s">
        <v>222</v>
      </c>
      <c r="D14" s="150" t="s">
        <v>278</v>
      </c>
      <c r="E14" s="204"/>
      <c r="F14" s="127"/>
      <c r="G14" s="22">
        <v>9</v>
      </c>
      <c r="H14" s="19" t="s">
        <v>137</v>
      </c>
      <c r="I14" s="20" t="e">
        <f>(E10-E11+E13+E14)/(E23-E26+E24+E25)</f>
        <v>#DIV/0!</v>
      </c>
      <c r="J14" s="23">
        <f>IF(AND((E10-E11+E13+E14)=0,(E23-E26+E24+E25)=0),1,IF((E23-E26+E24+E25)&lt;=0,3,IF(I14&lt;1,1,IF(I14&gt;1.5,3,2))))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5" t="s">
        <v>191</v>
      </c>
      <c r="C15" s="132" t="s">
        <v>192</v>
      </c>
      <c r="D15" s="150" t="s">
        <v>241</v>
      </c>
      <c r="E15" s="204"/>
      <c r="F15" s="127"/>
      <c r="G15" s="22">
        <v>10</v>
      </c>
      <c r="H15" s="19" t="s">
        <v>138</v>
      </c>
      <c r="I15" s="20" t="e">
        <f>((E7-'2017-ÚČ'!E7+E41)/'2017-ÚČ'!E7)*100</f>
        <v>#DIV/0!</v>
      </c>
      <c r="J15" s="23">
        <f>IF(AND(E7=0,E41=0,'2017-ÚČ'!E7=0),0, IF('2017-ÚČ'!E7=0,3,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2"/>
      <c r="C16" s="123" t="s">
        <v>2</v>
      </c>
      <c r="D16" s="150" t="s">
        <v>279</v>
      </c>
      <c r="E16" s="204"/>
      <c r="F16" s="127"/>
      <c r="G16" s="24" t="s">
        <v>53</v>
      </c>
      <c r="H16" s="25" t="s">
        <v>276</v>
      </c>
      <c r="I16" s="25"/>
      <c r="J16" s="26">
        <f>SUM(J6:J15)</f>
        <v>3</v>
      </c>
      <c r="K16" s="29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154</v>
      </c>
      <c r="C17" s="123" t="s">
        <v>146</v>
      </c>
      <c r="D17" s="150" t="s">
        <v>280</v>
      </c>
      <c r="E17" s="204"/>
      <c r="F17" s="127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155</v>
      </c>
      <c r="C18" s="123" t="s">
        <v>180</v>
      </c>
      <c r="D18" s="150" t="s">
        <v>244</v>
      </c>
      <c r="E18" s="204"/>
      <c r="F18" s="12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181</v>
      </c>
      <c r="C19" s="123" t="s">
        <v>1</v>
      </c>
      <c r="D19" s="150" t="s">
        <v>80</v>
      </c>
      <c r="E19" s="204"/>
      <c r="F19" s="12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182</v>
      </c>
      <c r="C20" s="123" t="s">
        <v>3</v>
      </c>
      <c r="D20" s="150" t="s">
        <v>51</v>
      </c>
      <c r="E20" s="204"/>
      <c r="F20" s="127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157</v>
      </c>
      <c r="C21" s="123" t="s">
        <v>4</v>
      </c>
      <c r="D21" s="150" t="s">
        <v>123</v>
      </c>
      <c r="E21" s="204"/>
      <c r="F21" s="127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183</v>
      </c>
      <c r="C22" s="123" t="s">
        <v>184</v>
      </c>
      <c r="D22" s="150" t="s">
        <v>281</v>
      </c>
      <c r="E22" s="204"/>
      <c r="F22" s="127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185</v>
      </c>
      <c r="C23" s="123" t="s">
        <v>8</v>
      </c>
      <c r="D23" s="150" t="s">
        <v>282</v>
      </c>
      <c r="E23" s="204"/>
      <c r="F23" s="12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5" t="s">
        <v>176</v>
      </c>
      <c r="C24" s="123" t="s">
        <v>188</v>
      </c>
      <c r="D24" s="150" t="s">
        <v>283</v>
      </c>
      <c r="E24" s="204"/>
      <c r="F24" s="12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5" t="s">
        <v>189</v>
      </c>
      <c r="C25" s="123" t="s">
        <v>9</v>
      </c>
      <c r="D25" s="153" t="s">
        <v>284</v>
      </c>
      <c r="E25" s="204"/>
      <c r="F25" s="12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5" t="s">
        <v>187</v>
      </c>
      <c r="C26" s="123" t="s">
        <v>186</v>
      </c>
      <c r="D26" s="150" t="s">
        <v>285</v>
      </c>
      <c r="E26" s="204"/>
      <c r="F26" s="12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90" t="s">
        <v>179</v>
      </c>
      <c r="C27" s="191" t="s">
        <v>190</v>
      </c>
      <c r="D27" s="153" t="s">
        <v>286</v>
      </c>
      <c r="E27" s="204"/>
      <c r="F27" s="12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6" t="s">
        <v>191</v>
      </c>
      <c r="C28" s="124" t="s">
        <v>190</v>
      </c>
      <c r="D28" s="152" t="s">
        <v>287</v>
      </c>
      <c r="E28" s="165"/>
      <c r="F28" s="12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7" t="s">
        <v>302</v>
      </c>
      <c r="D30" s="13"/>
      <c r="E30" s="166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1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4" t="s">
        <v>173</v>
      </c>
      <c r="C32" s="201" t="s">
        <v>25</v>
      </c>
      <c r="D32" s="195" t="s">
        <v>26</v>
      </c>
      <c r="E32" s="162" t="s">
        <v>27</v>
      </c>
      <c r="F32" s="175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194</v>
      </c>
      <c r="C33" s="129" t="s">
        <v>195</v>
      </c>
      <c r="D33" s="150" t="s">
        <v>28</v>
      </c>
      <c r="E33" s="204"/>
      <c r="F33" s="12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165</v>
      </c>
      <c r="C34" s="129" t="s">
        <v>29</v>
      </c>
      <c r="D34" s="150" t="s">
        <v>33</v>
      </c>
      <c r="E34" s="204"/>
      <c r="F34" s="12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221</v>
      </c>
      <c r="C35" s="129" t="s">
        <v>34</v>
      </c>
      <c r="D35" s="150" t="s">
        <v>224</v>
      </c>
      <c r="E35" s="204"/>
      <c r="F35" s="12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193</v>
      </c>
      <c r="C36" s="129" t="s">
        <v>30</v>
      </c>
      <c r="D36" s="150" t="s">
        <v>32</v>
      </c>
      <c r="E36" s="204"/>
      <c r="F36" s="12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199</v>
      </c>
      <c r="C37" s="129" t="s">
        <v>200</v>
      </c>
      <c r="D37" s="150" t="s">
        <v>226</v>
      </c>
      <c r="E37" s="204"/>
      <c r="F37" s="12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202</v>
      </c>
      <c r="C38" s="129" t="s">
        <v>201</v>
      </c>
      <c r="D38" s="150" t="s">
        <v>227</v>
      </c>
      <c r="E38" s="204"/>
      <c r="F38" s="12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147</v>
      </c>
      <c r="C39" s="129" t="s">
        <v>196</v>
      </c>
      <c r="D39" s="150" t="s">
        <v>225</v>
      </c>
      <c r="E39" s="204"/>
      <c r="F39" s="12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197</v>
      </c>
      <c r="C40" s="129" t="s">
        <v>198</v>
      </c>
      <c r="D40" s="150" t="s">
        <v>35</v>
      </c>
      <c r="E40" s="204"/>
      <c r="F40" s="12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203</v>
      </c>
      <c r="C41" s="129" t="s">
        <v>204</v>
      </c>
      <c r="D41" s="150" t="s">
        <v>228</v>
      </c>
      <c r="E41" s="204"/>
      <c r="F41" s="12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7" t="s">
        <v>209</v>
      </c>
      <c r="C42" s="130" t="s">
        <v>210</v>
      </c>
      <c r="D42" s="151" t="s">
        <v>230</v>
      </c>
      <c r="E42" s="204"/>
      <c r="F42" s="12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7" t="s">
        <v>211</v>
      </c>
      <c r="C43" s="130" t="s">
        <v>212</v>
      </c>
      <c r="D43" s="151" t="s">
        <v>38</v>
      </c>
      <c r="E43" s="204"/>
      <c r="F43" s="12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">
      <c r="A44" s="8"/>
      <c r="B44" s="127" t="s">
        <v>213</v>
      </c>
      <c r="C44" s="130" t="s">
        <v>214</v>
      </c>
      <c r="D44" s="151" t="s">
        <v>231</v>
      </c>
      <c r="E44" s="204"/>
      <c r="F44" s="12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">
      <c r="A45" s="8"/>
      <c r="B45" s="127" t="s">
        <v>205</v>
      </c>
      <c r="C45" s="129" t="s">
        <v>206</v>
      </c>
      <c r="D45" s="150" t="s">
        <v>40</v>
      </c>
      <c r="E45" s="204"/>
      <c r="F45" s="12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">
      <c r="A46" s="8"/>
      <c r="B46" s="127" t="s">
        <v>208</v>
      </c>
      <c r="C46" s="129" t="s">
        <v>274</v>
      </c>
      <c r="D46" s="150" t="s">
        <v>229</v>
      </c>
      <c r="E46" s="204"/>
      <c r="F46" s="127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">
      <c r="A47" s="8"/>
      <c r="B47" s="127" t="s">
        <v>215</v>
      </c>
      <c r="C47" s="130" t="s">
        <v>216</v>
      </c>
      <c r="D47" s="151" t="s">
        <v>232</v>
      </c>
      <c r="E47" s="204"/>
      <c r="F47" s="127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7" t="s">
        <v>172</v>
      </c>
      <c r="C48" s="129" t="s">
        <v>217</v>
      </c>
      <c r="D48" s="150" t="s">
        <v>42</v>
      </c>
      <c r="E48" s="204"/>
      <c r="F48" s="127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7" t="s">
        <v>218</v>
      </c>
      <c r="C49" s="129" t="s">
        <v>219</v>
      </c>
      <c r="D49" s="150" t="s">
        <v>44</v>
      </c>
      <c r="E49" s="204"/>
      <c r="F49" s="127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8" t="s">
        <v>171</v>
      </c>
      <c r="C50" s="131" t="s">
        <v>220</v>
      </c>
      <c r="D50" s="152" t="s">
        <v>233</v>
      </c>
      <c r="E50" s="165"/>
      <c r="F50" s="127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9"/>
      <c r="D51" s="28"/>
      <c r="E51" s="169"/>
      <c r="F51" s="172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2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1"/>
      <c r="F265" s="17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1"/>
      <c r="F266" s="17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267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((E7-'2016-ÚČ'!E7+E39)/'2016-ÚČ'!E7)*100</f>
        <v>#DIV/0!</v>
      </c>
      <c r="J15" s="23">
        <f>IF(AND(E7=0,E39=0,'2016-ÚČ'!E7=0),0, IF('2016-ÚČ'!E7=0,3,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268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9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0" customWidth="1"/>
    <col min="6" max="6" width="9.140625" style="170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303</v>
      </c>
      <c r="D2" s="12"/>
      <c r="E2" s="159"/>
      <c r="F2" s="161"/>
      <c r="G2" s="13"/>
      <c r="H2" s="27" t="s">
        <v>223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72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72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50" t="s">
        <v>15</v>
      </c>
      <c r="E6" s="163"/>
      <c r="F6" s="172"/>
      <c r="G6" s="22">
        <v>1</v>
      </c>
      <c r="H6" s="19" t="s">
        <v>18</v>
      </c>
      <c r="I6" s="20" t="e">
        <f>((E46+E40+E41+E42+E45)/E6)*100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135</v>
      </c>
      <c r="D7" s="150" t="s">
        <v>136</v>
      </c>
      <c r="E7" s="163"/>
      <c r="F7" s="172"/>
      <c r="G7" s="22">
        <v>2</v>
      </c>
      <c r="H7" s="19" t="s">
        <v>47</v>
      </c>
      <c r="I7" s="20" t="e">
        <f>((E16+E17+E18)/E6)*100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50" t="s">
        <v>234</v>
      </c>
      <c r="E8" s="163"/>
      <c r="F8" s="172"/>
      <c r="G8" s="22">
        <v>3</v>
      </c>
      <c r="H8" s="19" t="s">
        <v>23</v>
      </c>
      <c r="I8" s="20" t="e">
        <f>((E32-E34)+(E31-E37-E38)-(E35+E36))/(E33)*100</f>
        <v>#DIV/0!</v>
      </c>
      <c r="J8" s="23">
        <f>IF((E33)&lt;=0,1,IF(I8&lt;15,1,IF(I8&gt;30,3,2)))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50" t="s">
        <v>235</v>
      </c>
      <c r="E9" s="163"/>
      <c r="F9" s="172"/>
      <c r="G9" s="22">
        <v>4</v>
      </c>
      <c r="H9" s="19" t="s">
        <v>22</v>
      </c>
      <c r="I9" s="20" t="e">
        <f>((E48+E39+E43+E44)/(E32+E31-E37-E38))*100</f>
        <v>#DIV/0!</v>
      </c>
      <c r="J9" s="23">
        <f>IF(E48+E39+E43+E44&lt;=0,0, IF(E32+E31-E37-E38&lt;=0,0,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176</v>
      </c>
      <c r="C10" s="123" t="s">
        <v>11</v>
      </c>
      <c r="D10" s="150" t="s">
        <v>236</v>
      </c>
      <c r="E10" s="163"/>
      <c r="F10" s="172"/>
      <c r="G10" s="22">
        <v>5</v>
      </c>
      <c r="H10" s="19" t="s">
        <v>24</v>
      </c>
      <c r="I10" s="20" t="e">
        <f>((E19-E21-E25-E20)/E15)*100</f>
        <v>#DIV/0!</v>
      </c>
      <c r="J10" s="23">
        <f>IF(E15&lt;=0,0,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178</v>
      </c>
      <c r="C11" s="123" t="s">
        <v>177</v>
      </c>
      <c r="D11" s="150" t="s">
        <v>237</v>
      </c>
      <c r="E11" s="163"/>
      <c r="F11" s="172"/>
      <c r="G11" s="22">
        <v>6</v>
      </c>
      <c r="H11" s="19" t="s">
        <v>19</v>
      </c>
      <c r="I11" s="20" t="e">
        <f>(E46+E40+E41+E42+E45)/E47</f>
        <v>#DIV/0!</v>
      </c>
      <c r="J11" s="23">
        <f>IF(AND(E47=0,(E46+E40+E41+E42+E45)&lt;=0),0, IF(E47=0,3,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179</v>
      </c>
      <c r="C12" s="123" t="s">
        <v>12</v>
      </c>
      <c r="D12" s="150" t="s">
        <v>238</v>
      </c>
      <c r="E12" s="163"/>
      <c r="F12" s="172"/>
      <c r="G12" s="22">
        <v>7</v>
      </c>
      <c r="H12" s="19" t="s">
        <v>21</v>
      </c>
      <c r="I12" s="20" t="e">
        <f>(E19-E21-E25-E20-(E12+E13))/(E48+E39+E43+E44)</f>
        <v>#DIV/0!</v>
      </c>
      <c r="J12" s="23">
        <f>IF((E48+E39+E43+E44)&lt;=0,0,IF(I12&lt;5,3,IF(I12&gt;7,1,2)))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152</v>
      </c>
      <c r="C13" s="123" t="s">
        <v>222</v>
      </c>
      <c r="D13" s="150" t="s">
        <v>239</v>
      </c>
      <c r="E13" s="163"/>
      <c r="F13" s="172"/>
      <c r="G13" s="22">
        <v>8</v>
      </c>
      <c r="H13" s="19" t="s">
        <v>20</v>
      </c>
      <c r="I13" s="20" t="e">
        <f>(E8+E14-E22-E23-E24-E26-E21)/E9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 t="s">
        <v>191</v>
      </c>
      <c r="C14" s="132" t="s">
        <v>192</v>
      </c>
      <c r="D14" s="150" t="s">
        <v>240</v>
      </c>
      <c r="E14" s="163"/>
      <c r="F14" s="172"/>
      <c r="G14" s="22">
        <v>9</v>
      </c>
      <c r="H14" s="19" t="s">
        <v>137</v>
      </c>
      <c r="I14" s="20" t="e">
        <f>(E10-E11+E12+E13)/(E22-E25+E23+E24)</f>
        <v>#DIV/0!</v>
      </c>
      <c r="J14" s="23">
        <f>IF(AND((E10-E11+E12+E13)=0,(E22-E25+E23+E24)=0),1,IF((E22-E25+E23+E24)&lt;=0,3,IF(I14&lt;1,1,IF(I14&gt;1.5,3,2))))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2"/>
      <c r="C15" s="123" t="s">
        <v>2</v>
      </c>
      <c r="D15" s="150" t="s">
        <v>241</v>
      </c>
      <c r="E15" s="163"/>
      <c r="F15" s="172"/>
      <c r="G15" s="22">
        <v>10</v>
      </c>
      <c r="H15" s="19" t="s">
        <v>138</v>
      </c>
      <c r="I15" s="20" t="e">
        <f>((E7-'2015-ÚČ'!E7+E39)/'2015-ÚČ'!E7)*100</f>
        <v>#DIV/0!</v>
      </c>
      <c r="J15" s="23">
        <f>IF(AND(E7=0,E39=0,'2015-ÚČ'!E7=0),0, IF('2015-ÚČ'!E7=0,3,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5" t="s">
        <v>154</v>
      </c>
      <c r="C16" s="123" t="s">
        <v>146</v>
      </c>
      <c r="D16" s="150" t="s">
        <v>242</v>
      </c>
      <c r="E16" s="163"/>
      <c r="F16" s="172"/>
      <c r="G16" s="24" t="s">
        <v>53</v>
      </c>
      <c r="H16" s="25" t="s">
        <v>254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155</v>
      </c>
      <c r="C17" s="123" t="s">
        <v>180</v>
      </c>
      <c r="D17" s="150" t="s">
        <v>243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181</v>
      </c>
      <c r="C18" s="123" t="s">
        <v>1</v>
      </c>
      <c r="D18" s="150" t="s">
        <v>244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182</v>
      </c>
      <c r="C19" s="123" t="s">
        <v>3</v>
      </c>
      <c r="D19" s="150" t="s">
        <v>79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157</v>
      </c>
      <c r="C20" s="123" t="s">
        <v>4</v>
      </c>
      <c r="D20" s="150" t="s">
        <v>80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183</v>
      </c>
      <c r="C21" s="123" t="s">
        <v>184</v>
      </c>
      <c r="D21" s="150" t="s">
        <v>125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185</v>
      </c>
      <c r="C22" s="123" t="s">
        <v>8</v>
      </c>
      <c r="D22" s="150" t="s">
        <v>245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176</v>
      </c>
      <c r="C23" s="123" t="s">
        <v>188</v>
      </c>
      <c r="D23" s="150" t="s">
        <v>247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5" t="s">
        <v>189</v>
      </c>
      <c r="C24" s="123" t="s">
        <v>9</v>
      </c>
      <c r="D24" s="153" t="s">
        <v>248</v>
      </c>
      <c r="E24" s="164"/>
      <c r="F24" s="173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5" t="s">
        <v>187</v>
      </c>
      <c r="C25" s="123" t="s">
        <v>186</v>
      </c>
      <c r="D25" s="150" t="s">
        <v>246</v>
      </c>
      <c r="E25" s="163"/>
      <c r="F25" s="17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6" t="s">
        <v>191</v>
      </c>
      <c r="C26" s="124" t="s">
        <v>190</v>
      </c>
      <c r="D26" s="152" t="s">
        <v>249</v>
      </c>
      <c r="E26" s="165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1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7" t="s">
        <v>302</v>
      </c>
      <c r="D28" s="13"/>
      <c r="E28" s="166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1"/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4" t="s">
        <v>173</v>
      </c>
      <c r="C30" s="201" t="s">
        <v>25</v>
      </c>
      <c r="D30" s="195" t="s">
        <v>26</v>
      </c>
      <c r="E30" s="162" t="s">
        <v>27</v>
      </c>
      <c r="F30" s="175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7" t="s">
        <v>194</v>
      </c>
      <c r="C31" s="129" t="s">
        <v>195</v>
      </c>
      <c r="D31" s="150" t="s">
        <v>28</v>
      </c>
      <c r="E31" s="167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7" t="s">
        <v>165</v>
      </c>
      <c r="C32" s="129" t="s">
        <v>29</v>
      </c>
      <c r="D32" s="150" t="s">
        <v>33</v>
      </c>
      <c r="E32" s="167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221</v>
      </c>
      <c r="C33" s="129" t="s">
        <v>34</v>
      </c>
      <c r="D33" s="150" t="s">
        <v>224</v>
      </c>
      <c r="E33" s="167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193</v>
      </c>
      <c r="C34" s="129" t="s">
        <v>30</v>
      </c>
      <c r="D34" s="150" t="s">
        <v>32</v>
      </c>
      <c r="E34" s="167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199</v>
      </c>
      <c r="C35" s="129" t="s">
        <v>200</v>
      </c>
      <c r="D35" s="150" t="s">
        <v>226</v>
      </c>
      <c r="E35" s="167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202</v>
      </c>
      <c r="C36" s="129" t="s">
        <v>201</v>
      </c>
      <c r="D36" s="150" t="s">
        <v>227</v>
      </c>
      <c r="E36" s="167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7" t="s">
        <v>147</v>
      </c>
      <c r="C37" s="129" t="s">
        <v>196</v>
      </c>
      <c r="D37" s="150" t="s">
        <v>225</v>
      </c>
      <c r="E37" s="167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197</v>
      </c>
      <c r="C38" s="129" t="s">
        <v>198</v>
      </c>
      <c r="D38" s="150" t="s">
        <v>35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203</v>
      </c>
      <c r="C39" s="129" t="s">
        <v>204</v>
      </c>
      <c r="D39" s="150" t="s">
        <v>228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7" t="s">
        <v>209</v>
      </c>
      <c r="C40" s="130" t="s">
        <v>210</v>
      </c>
      <c r="D40" s="151" t="s">
        <v>230</v>
      </c>
      <c r="E40" s="167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7" t="s">
        <v>211</v>
      </c>
      <c r="C41" s="130" t="s">
        <v>212</v>
      </c>
      <c r="D41" s="151" t="s">
        <v>38</v>
      </c>
      <c r="E41" s="167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2">
      <c r="A42" s="8"/>
      <c r="B42" s="127" t="s">
        <v>213</v>
      </c>
      <c r="C42" s="130" t="s">
        <v>214</v>
      </c>
      <c r="D42" s="151" t="s">
        <v>231</v>
      </c>
      <c r="E42" s="167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7" t="s">
        <v>205</v>
      </c>
      <c r="C43" s="129" t="s">
        <v>206</v>
      </c>
      <c r="D43" s="150" t="s">
        <v>40</v>
      </c>
      <c r="E43" s="167"/>
      <c r="F43" s="172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7" t="s">
        <v>208</v>
      </c>
      <c r="C44" s="129" t="s">
        <v>207</v>
      </c>
      <c r="D44" s="150" t="s">
        <v>229</v>
      </c>
      <c r="E44" s="167"/>
      <c r="F44" s="172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7" t="s">
        <v>215</v>
      </c>
      <c r="C45" s="130" t="s">
        <v>216</v>
      </c>
      <c r="D45" s="151" t="s">
        <v>232</v>
      </c>
      <c r="E45" s="167"/>
      <c r="F45" s="172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7" t="s">
        <v>172</v>
      </c>
      <c r="C46" s="129" t="s">
        <v>217</v>
      </c>
      <c r="D46" s="150" t="s">
        <v>42</v>
      </c>
      <c r="E46" s="167"/>
      <c r="F46" s="172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7" t="s">
        <v>218</v>
      </c>
      <c r="C47" s="129" t="s">
        <v>219</v>
      </c>
      <c r="D47" s="150" t="s">
        <v>44</v>
      </c>
      <c r="E47" s="167"/>
      <c r="F47" s="172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8" t="s">
        <v>171</v>
      </c>
      <c r="C48" s="131" t="s">
        <v>220</v>
      </c>
      <c r="D48" s="152" t="s">
        <v>233</v>
      </c>
      <c r="E48" s="168"/>
      <c r="F48" s="172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9"/>
      <c r="D49" s="28"/>
      <c r="E49" s="169"/>
      <c r="F49" s="172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1"/>
      <c r="F257" s="17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1"/>
      <c r="F258" s="17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1"/>
      <c r="F259" s="17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1"/>
      <c r="F260" s="17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1"/>
      <c r="F261" s="17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1"/>
      <c r="F262" s="17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1"/>
      <c r="F263" s="17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1"/>
      <c r="F264" s="17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34A31"/>
  </sheetPr>
  <dimension ref="A1:CV383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0" customWidth="1"/>
    <col min="6" max="6" width="9.140625" style="170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8"/>
      <c r="F1" s="158"/>
      <c r="G1" s="8"/>
      <c r="H1" s="8"/>
      <c r="I1" s="8"/>
      <c r="J1" s="8"/>
      <c r="K1" s="8"/>
    </row>
    <row r="2" spans="1:100" ht="14.25" x14ac:dyDescent="0.2">
      <c r="A2" s="8"/>
      <c r="B2" s="12"/>
      <c r="C2" s="27" t="s">
        <v>301</v>
      </c>
      <c r="D2" s="12"/>
      <c r="E2" s="159"/>
      <c r="F2" s="161"/>
      <c r="G2" s="13"/>
      <c r="H2" s="27" t="s">
        <v>143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0" customFormat="1" ht="15" thickBot="1" x14ac:dyDescent="0.25">
      <c r="A3" s="11"/>
      <c r="B3" s="11"/>
      <c r="C3" s="59"/>
      <c r="D3" s="68"/>
      <c r="E3" s="160"/>
      <c r="F3" s="172"/>
      <c r="G3" s="9"/>
      <c r="H3" s="59"/>
      <c r="I3" s="9"/>
      <c r="J3" s="9"/>
      <c r="K3" s="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75" customHeight="1" thickTop="1" thickBot="1" x14ac:dyDescent="0.25">
      <c r="A4" s="8"/>
      <c r="B4" s="8"/>
      <c r="C4" s="7"/>
      <c r="D4" s="7"/>
      <c r="E4" s="161"/>
      <c r="F4" s="161"/>
      <c r="G4" s="64"/>
      <c r="H4" s="65"/>
      <c r="I4" s="66"/>
      <c r="J4" s="6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161"/>
      <c r="G5" s="196" t="s">
        <v>49</v>
      </c>
      <c r="H5" s="202" t="s">
        <v>45</v>
      </c>
      <c r="I5" s="197" t="s">
        <v>46</v>
      </c>
      <c r="J5" s="198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5"/>
      <c r="C6" s="123" t="s">
        <v>48</v>
      </c>
      <c r="D6" s="16" t="s">
        <v>15</v>
      </c>
      <c r="E6" s="163"/>
      <c r="F6" s="161"/>
      <c r="G6" s="22">
        <v>1</v>
      </c>
      <c r="H6" s="19" t="s">
        <v>18</v>
      </c>
      <c r="I6" s="20" t="e">
        <f>((E38+E37)/E6)*100</f>
        <v>#DIV/0!</v>
      </c>
      <c r="J6" s="23">
        <f>IF(E6&lt;=0,0, IF((I6)&lt;=0,0,IF(I6&lt;1.5,1,IF(I6&gt;3,3,2))))</f>
        <v>0</v>
      </c>
      <c r="K6" s="2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5" t="s">
        <v>147</v>
      </c>
      <c r="C7" s="123" t="s">
        <v>135</v>
      </c>
      <c r="D7" s="16" t="s">
        <v>136</v>
      </c>
      <c r="E7" s="163"/>
      <c r="F7" s="161"/>
      <c r="G7" s="22">
        <v>2</v>
      </c>
      <c r="H7" s="19" t="s">
        <v>47</v>
      </c>
      <c r="I7" s="20" t="e">
        <f>((E15+E16+E17)/E6)*100</f>
        <v>#DIV/0!</v>
      </c>
      <c r="J7" s="23">
        <f>IF(E6&lt;=0,0, IF((I7)&lt;=0,0,IF(I7&lt;2,1,IF(I7&gt;8,3,2))))</f>
        <v>0</v>
      </c>
      <c r="K7" s="29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5" t="s">
        <v>148</v>
      </c>
      <c r="C8" s="123" t="s">
        <v>6</v>
      </c>
      <c r="D8" s="16" t="s">
        <v>16</v>
      </c>
      <c r="E8" s="163"/>
      <c r="F8" s="161"/>
      <c r="G8" s="22">
        <v>3</v>
      </c>
      <c r="H8" s="19" t="s">
        <v>23</v>
      </c>
      <c r="I8" s="20" t="e">
        <f>(E34/(E31+E33))*100</f>
        <v>#DIV/0!</v>
      </c>
      <c r="J8" s="23">
        <f>IF((E31+E33)&lt;=0,1,IF(I8&lt;15,1,IF(I8&gt;30,3,2)))</f>
        <v>1</v>
      </c>
      <c r="K8" s="29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5" t="s">
        <v>149</v>
      </c>
      <c r="C9" s="123" t="s">
        <v>10</v>
      </c>
      <c r="D9" s="16" t="s">
        <v>17</v>
      </c>
      <c r="E9" s="163"/>
      <c r="F9" s="172"/>
      <c r="G9" s="22">
        <v>4</v>
      </c>
      <c r="H9" s="19" t="s">
        <v>22</v>
      </c>
      <c r="I9" s="20" t="e">
        <f>((E40+E35+E36)/(E30+E32))*100</f>
        <v>#DIV/0!</v>
      </c>
      <c r="J9" s="23">
        <f>IF(E40+E36+E35&lt;=0,0, IF(E30+E32&lt;=0,0, IF(I9&lt;6,1, IF(I9&gt;15,3,2))))</f>
        <v>0</v>
      </c>
      <c r="K9" s="29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5" t="s">
        <v>150</v>
      </c>
      <c r="C10" s="123" t="s">
        <v>11</v>
      </c>
      <c r="D10" s="16" t="s">
        <v>99</v>
      </c>
      <c r="E10" s="163"/>
      <c r="F10" s="172"/>
      <c r="G10" s="22">
        <v>5</v>
      </c>
      <c r="H10" s="19" t="s">
        <v>24</v>
      </c>
      <c r="I10" s="20" t="e">
        <f>((E18-E20-E22-E19)/E14)*100</f>
        <v>#DIV/0!</v>
      </c>
      <c r="J10" s="23">
        <f>IF(E14&lt;=0,0, IF((I10)&gt;=100,0,IF(I10&lt;55,3,IF(I10&gt;70,1,2))))</f>
        <v>0</v>
      </c>
      <c r="K10" s="29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5" t="s">
        <v>151</v>
      </c>
      <c r="C11" s="123" t="s">
        <v>14</v>
      </c>
      <c r="D11" s="16" t="s">
        <v>100</v>
      </c>
      <c r="E11" s="163"/>
      <c r="F11" s="172"/>
      <c r="G11" s="22">
        <v>6</v>
      </c>
      <c r="H11" s="19" t="s">
        <v>19</v>
      </c>
      <c r="I11" s="20" t="e">
        <f>(E38+E37)/E39</f>
        <v>#DIV/0!</v>
      </c>
      <c r="J11" s="23">
        <f>IF(AND(E39=0,(E38+E37)&lt;=0),0, IF(E39=0,3, IF(I11&lt;=0,0, IF(I11&lt;1.1,1,IF(I11&gt;2.1,3,2)))))</f>
        <v>0</v>
      </c>
      <c r="K11" s="29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5" t="s">
        <v>152</v>
      </c>
      <c r="C12" s="123" t="s">
        <v>12</v>
      </c>
      <c r="D12" s="16" t="s">
        <v>101</v>
      </c>
      <c r="E12" s="163"/>
      <c r="F12" s="172"/>
      <c r="G12" s="22">
        <v>7</v>
      </c>
      <c r="H12" s="19" t="s">
        <v>21</v>
      </c>
      <c r="I12" s="20" t="e">
        <f>(E18-E20-E22-E19-E12)/(E40+E35+E36)</f>
        <v>#DIV/0!</v>
      </c>
      <c r="J12" s="23">
        <f>IF((E40+E35+E36)&lt;=0,0,IF(I12&lt;5,3,IF(I12&gt;7,1,2)))</f>
        <v>0</v>
      </c>
      <c r="K12" s="29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5" t="s">
        <v>153</v>
      </c>
      <c r="C13" s="123" t="s">
        <v>7</v>
      </c>
      <c r="D13" s="16" t="s">
        <v>102</v>
      </c>
      <c r="E13" s="163"/>
      <c r="F13" s="172"/>
      <c r="G13" s="22">
        <v>8</v>
      </c>
      <c r="H13" s="19" t="s">
        <v>20</v>
      </c>
      <c r="I13" s="20" t="e">
        <f>(E8+E13-E21-E23-E24-E25-E20)/E9</f>
        <v>#DIV/0!</v>
      </c>
      <c r="J13" s="23">
        <f>IF((E9)&lt;=0,1,IF(I13&lt;0.5,1,IF(I13&gt;0.7,3,2)))</f>
        <v>1</v>
      </c>
      <c r="K13" s="29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5"/>
      <c r="C14" s="123" t="s">
        <v>2</v>
      </c>
      <c r="D14" s="16" t="s">
        <v>103</v>
      </c>
      <c r="E14" s="163"/>
      <c r="F14" s="172"/>
      <c r="G14" s="22">
        <v>9</v>
      </c>
      <c r="H14" s="19" t="s">
        <v>137</v>
      </c>
      <c r="I14" s="20" t="e">
        <f>(E10-E11+E12)/(E21-E22+E23+E24)</f>
        <v>#DIV/0!</v>
      </c>
      <c r="J14" s="23">
        <f>IF(AND((E10-E11+E12)=0,(E21-E22+E23+E24)=0),1,IF((E21-E22+E23+E24)&lt;=0,3,IF(I14&lt;1,1,IF(I14&gt;1.5,3,2))))</f>
        <v>1</v>
      </c>
      <c r="K14" s="29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5" t="s">
        <v>154</v>
      </c>
      <c r="C15" s="123" t="s">
        <v>146</v>
      </c>
      <c r="D15" s="16" t="s">
        <v>120</v>
      </c>
      <c r="E15" s="163"/>
      <c r="F15" s="172"/>
      <c r="G15" s="22">
        <v>10</v>
      </c>
      <c r="H15" s="19" t="s">
        <v>138</v>
      </c>
      <c r="I15" s="20" t="e">
        <f>((E7-'2014-ÚČ'!E6+E35)/'2014-ÚČ'!E6)*100</f>
        <v>#DIV/0!</v>
      </c>
      <c r="J15" s="23">
        <f>IF(AND(E7=0,E35=0,'2014-ÚČ'!E6=0),0, IF('2014-ÚČ'!E6=0,3, IF(I15&lt;=0,0, IF(I15&lt;2.51,1, IF(I15&gt;5,3,2)))))</f>
        <v>0</v>
      </c>
      <c r="K15" s="29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5" t="s">
        <v>155</v>
      </c>
      <c r="C16" s="123" t="s">
        <v>0</v>
      </c>
      <c r="D16" s="16" t="s">
        <v>121</v>
      </c>
      <c r="E16" s="163"/>
      <c r="F16" s="172"/>
      <c r="G16" s="24" t="s">
        <v>53</v>
      </c>
      <c r="H16" s="25" t="s">
        <v>144</v>
      </c>
      <c r="I16" s="25"/>
      <c r="J16" s="26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5" t="s">
        <v>156</v>
      </c>
      <c r="C17" s="123" t="s">
        <v>1</v>
      </c>
      <c r="D17" s="16" t="s">
        <v>118</v>
      </c>
      <c r="E17" s="163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5" t="s">
        <v>157</v>
      </c>
      <c r="C18" s="123" t="s">
        <v>3</v>
      </c>
      <c r="D18" s="16" t="s">
        <v>122</v>
      </c>
      <c r="E18" s="163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5" t="s">
        <v>158</v>
      </c>
      <c r="C19" s="123" t="s">
        <v>4</v>
      </c>
      <c r="D19" s="16" t="s">
        <v>131</v>
      </c>
      <c r="E19" s="163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5" t="s">
        <v>174</v>
      </c>
      <c r="C20" s="123" t="s">
        <v>13</v>
      </c>
      <c r="D20" s="16" t="s">
        <v>50</v>
      </c>
      <c r="E20" s="163"/>
      <c r="F20" s="172"/>
      <c r="G20" s="7"/>
      <c r="H20" s="7"/>
      <c r="I20" s="7"/>
      <c r="J20" s="105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5" t="s">
        <v>159</v>
      </c>
      <c r="C21" s="123" t="s">
        <v>8</v>
      </c>
      <c r="D21" s="16" t="s">
        <v>132</v>
      </c>
      <c r="E21" s="163"/>
      <c r="F21" s="172"/>
      <c r="G21" s="7"/>
      <c r="H21" s="7"/>
      <c r="I21" s="7"/>
      <c r="J21" s="105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5" t="s">
        <v>160</v>
      </c>
      <c r="C22" s="123" t="s">
        <v>13</v>
      </c>
      <c r="D22" s="16" t="s">
        <v>133</v>
      </c>
      <c r="E22" s="163"/>
      <c r="F22" s="172"/>
      <c r="G22" s="7"/>
      <c r="H22" s="7"/>
      <c r="I22" s="104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5" t="s">
        <v>175</v>
      </c>
      <c r="C23" s="123" t="s">
        <v>119</v>
      </c>
      <c r="D23" s="16" t="s">
        <v>124</v>
      </c>
      <c r="E23" s="163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5" t="s">
        <v>161</v>
      </c>
      <c r="C24" s="123" t="s">
        <v>9</v>
      </c>
      <c r="D24" s="16" t="s">
        <v>125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26" t="s">
        <v>162</v>
      </c>
      <c r="C25" s="124" t="s">
        <v>7</v>
      </c>
      <c r="D25" s="18" t="s">
        <v>134</v>
      </c>
      <c r="E25" s="165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1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7" t="s">
        <v>304</v>
      </c>
      <c r="D27" s="13"/>
      <c r="E27" s="166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1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94" t="s">
        <v>173</v>
      </c>
      <c r="C29" s="201" t="s">
        <v>25</v>
      </c>
      <c r="D29" s="195" t="s">
        <v>26</v>
      </c>
      <c r="E29" s="162" t="s">
        <v>27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27" t="s">
        <v>163</v>
      </c>
      <c r="C30" s="129" t="s">
        <v>29</v>
      </c>
      <c r="D30" s="16" t="s">
        <v>28</v>
      </c>
      <c r="E30" s="163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7" t="s">
        <v>164</v>
      </c>
      <c r="C31" s="129" t="s">
        <v>30</v>
      </c>
      <c r="D31" s="16" t="s">
        <v>33</v>
      </c>
      <c r="E31" s="163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7" t="s">
        <v>165</v>
      </c>
      <c r="C32" s="129" t="s">
        <v>31</v>
      </c>
      <c r="D32" s="16" t="s">
        <v>32</v>
      </c>
      <c r="E32" s="163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7" t="s">
        <v>157</v>
      </c>
      <c r="C33" s="129" t="s">
        <v>34</v>
      </c>
      <c r="D33" s="16" t="s">
        <v>35</v>
      </c>
      <c r="E33" s="163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7" t="s">
        <v>166</v>
      </c>
      <c r="C34" s="129" t="s">
        <v>36</v>
      </c>
      <c r="D34" s="16" t="s">
        <v>37</v>
      </c>
      <c r="E34" s="163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7" t="s">
        <v>167</v>
      </c>
      <c r="C35" s="129" t="s">
        <v>5</v>
      </c>
      <c r="D35" s="16" t="s">
        <v>38</v>
      </c>
      <c r="E35" s="163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7" t="s">
        <v>168</v>
      </c>
      <c r="C36" s="129" t="s">
        <v>130</v>
      </c>
      <c r="D36" s="16" t="s">
        <v>129</v>
      </c>
      <c r="E36" s="163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27" t="s">
        <v>169</v>
      </c>
      <c r="C37" s="130" t="s">
        <v>39</v>
      </c>
      <c r="D37" s="21" t="s">
        <v>40</v>
      </c>
      <c r="E37" s="163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7" t="s">
        <v>172</v>
      </c>
      <c r="C38" s="129" t="s">
        <v>41</v>
      </c>
      <c r="D38" s="16" t="s">
        <v>42</v>
      </c>
      <c r="E38" s="167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7" t="s">
        <v>170</v>
      </c>
      <c r="C39" s="129" t="s">
        <v>43</v>
      </c>
      <c r="D39" s="16" t="s">
        <v>44</v>
      </c>
      <c r="E39" s="167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28" t="s">
        <v>171</v>
      </c>
      <c r="C40" s="131" t="s">
        <v>127</v>
      </c>
      <c r="D40" s="18" t="s">
        <v>128</v>
      </c>
      <c r="E40" s="168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29"/>
      <c r="D41" s="28"/>
      <c r="E41" s="169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1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1"/>
      <c r="F43" s="1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1"/>
      <c r="F44" s="1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1"/>
      <c r="F45" s="1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1"/>
      <c r="F46" s="1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1"/>
      <c r="F47" s="1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1"/>
      <c r="F48" s="17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1"/>
      <c r="F49" s="17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1"/>
      <c r="F50" s="17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1"/>
      <c r="F51" s="17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1"/>
      <c r="F52" s="1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1"/>
      <c r="F53" s="1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1"/>
      <c r="F54" s="1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1"/>
      <c r="F55" s="1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1"/>
      <c r="F56" s="1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1"/>
      <c r="F57" s="17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1"/>
      <c r="F58" s="1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1"/>
      <c r="F59" s="1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1"/>
      <c r="F60" s="1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1"/>
      <c r="F61" s="1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1"/>
      <c r="F62" s="1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1"/>
      <c r="F63" s="17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1"/>
      <c r="F64" s="17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1"/>
      <c r="F65" s="17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1"/>
      <c r="F66" s="17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1"/>
      <c r="F67" s="17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1"/>
      <c r="F68" s="17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1"/>
      <c r="F69" s="17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1"/>
      <c r="F70" s="17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1"/>
      <c r="F71" s="17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1"/>
      <c r="F72" s="17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1"/>
      <c r="F73" s="17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1"/>
      <c r="F74" s="17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1"/>
      <c r="F75" s="1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1"/>
      <c r="F76" s="17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1"/>
      <c r="F77" s="17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1"/>
      <c r="F78" s="17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1"/>
      <c r="F79" s="17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1"/>
      <c r="F80" s="17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1"/>
      <c r="F81" s="1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1"/>
      <c r="F82" s="17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1"/>
      <c r="F83" s="17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1"/>
      <c r="F84" s="17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1"/>
      <c r="F85" s="17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1"/>
      <c r="F86" s="17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1"/>
      <c r="F87" s="17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1"/>
      <c r="F88" s="17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1"/>
      <c r="F89" s="17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1"/>
      <c r="F90" s="17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1"/>
      <c r="F91" s="17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1"/>
      <c r="F92" s="17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1"/>
      <c r="F93" s="17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1"/>
      <c r="F94" s="17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1"/>
      <c r="F95" s="17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1"/>
      <c r="F96" s="17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1"/>
      <c r="F97" s="17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1"/>
      <c r="F98" s="17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1"/>
      <c r="F99" s="17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1"/>
      <c r="F100" s="17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1"/>
      <c r="F101" s="17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1"/>
      <c r="F102" s="17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1"/>
      <c r="F103" s="17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1"/>
      <c r="F104" s="17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1"/>
      <c r="F105" s="17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1"/>
      <c r="F106" s="17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1"/>
      <c r="F107" s="17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1"/>
      <c r="F108" s="17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1"/>
      <c r="F109" s="1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1"/>
      <c r="F110" s="17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1"/>
      <c r="F111" s="17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1"/>
      <c r="F112" s="17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1"/>
      <c r="F113" s="17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1"/>
      <c r="F114" s="17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1"/>
      <c r="F115" s="17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1"/>
      <c r="F116" s="17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1"/>
      <c r="F117" s="17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1"/>
      <c r="F118" s="17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1"/>
      <c r="F119" s="17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1"/>
      <c r="F120" s="17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1"/>
      <c r="F121" s="17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1"/>
      <c r="F122" s="17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1"/>
      <c r="F123" s="17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1"/>
      <c r="F124" s="17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1"/>
      <c r="F125" s="17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1"/>
      <c r="F126" s="17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1"/>
      <c r="F127" s="17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1"/>
      <c r="F128" s="17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1"/>
      <c r="F129" s="17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1"/>
      <c r="F130" s="17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1"/>
      <c r="F131" s="17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1"/>
      <c r="F132" s="17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1"/>
      <c r="F133" s="17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1"/>
      <c r="F134" s="17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1"/>
      <c r="F135" s="17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1"/>
      <c r="F136" s="17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1"/>
      <c r="F137" s="17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1"/>
      <c r="F138" s="17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1"/>
      <c r="F139" s="17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1"/>
      <c r="F140" s="17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1"/>
      <c r="F141" s="17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1"/>
      <c r="F142" s="17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1"/>
      <c r="F143" s="17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1"/>
      <c r="F144" s="17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1"/>
      <c r="F145" s="17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1"/>
      <c r="F146" s="17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1"/>
      <c r="F147" s="17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1"/>
      <c r="F148" s="17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1"/>
      <c r="F149" s="17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1"/>
      <c r="F150" s="17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1"/>
      <c r="F151" s="17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1"/>
      <c r="F152" s="17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1"/>
      <c r="F153" s="17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1"/>
      <c r="F154" s="17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1"/>
      <c r="F155" s="17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1"/>
      <c r="F156" s="17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1"/>
      <c r="F157" s="17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1"/>
      <c r="F158" s="17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1"/>
      <c r="F159" s="17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1"/>
      <c r="F160" s="17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1"/>
      <c r="F161" s="17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1"/>
      <c r="F162" s="17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1"/>
      <c r="F163" s="17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1"/>
      <c r="F164" s="17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1"/>
      <c r="F165" s="17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1"/>
      <c r="F166" s="17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1"/>
      <c r="F167" s="17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1"/>
      <c r="F168" s="17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1"/>
      <c r="F169" s="17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1"/>
      <c r="F170" s="17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1"/>
      <c r="F171" s="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1"/>
      <c r="F172" s="17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1"/>
      <c r="F173" s="17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1"/>
      <c r="F174" s="17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1"/>
      <c r="F175" s="17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1"/>
      <c r="F176" s="17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1"/>
      <c r="F177" s="17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1"/>
      <c r="F178" s="17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1"/>
      <c r="F179" s="17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1"/>
      <c r="F180" s="17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1"/>
      <c r="F181" s="17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1"/>
      <c r="F182" s="17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1"/>
      <c r="F183" s="17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1"/>
      <c r="F184" s="17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1"/>
      <c r="F185" s="17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1"/>
      <c r="F186" s="17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1"/>
      <c r="F187" s="17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1"/>
      <c r="F188" s="17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1"/>
      <c r="F189" s="17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1"/>
      <c r="F190" s="17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1"/>
      <c r="F191" s="17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1"/>
      <c r="F192" s="17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1"/>
      <c r="F193" s="17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1"/>
      <c r="F194" s="17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1"/>
      <c r="F195" s="17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1"/>
      <c r="F196" s="17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1"/>
      <c r="F197" s="17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1"/>
      <c r="F198" s="17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1"/>
      <c r="F199" s="17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1"/>
      <c r="F200" s="17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1"/>
      <c r="F201" s="17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1"/>
      <c r="F202" s="17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1"/>
      <c r="F203" s="17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1"/>
      <c r="F204" s="17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1"/>
      <c r="F205" s="17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1"/>
      <c r="F206" s="17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1"/>
      <c r="F207" s="17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1"/>
      <c r="F208" s="17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1"/>
      <c r="F209" s="17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1"/>
      <c r="F210" s="17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1"/>
      <c r="F211" s="17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1"/>
      <c r="F212" s="17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1"/>
      <c r="F213" s="17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1"/>
      <c r="F214" s="17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1"/>
      <c r="F215" s="17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1"/>
      <c r="F216" s="17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1"/>
      <c r="F217" s="17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1"/>
      <c r="F218" s="17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1"/>
      <c r="F219" s="17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1"/>
      <c r="F220" s="17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1"/>
      <c r="F221" s="17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1"/>
      <c r="F222" s="17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1"/>
      <c r="F223" s="17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1"/>
      <c r="F224" s="17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1"/>
      <c r="F225" s="17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1"/>
      <c r="F226" s="17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1"/>
      <c r="F227" s="17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1"/>
      <c r="F228" s="17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1"/>
      <c r="F229" s="17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1"/>
      <c r="F230" s="17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1"/>
      <c r="F231" s="17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1"/>
      <c r="F232" s="17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1"/>
      <c r="F233" s="17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1"/>
      <c r="F234" s="17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1"/>
      <c r="F235" s="17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1"/>
      <c r="F236" s="17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1"/>
      <c r="F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1"/>
      <c r="F238" s="17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1"/>
      <c r="F239" s="17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1"/>
      <c r="F240" s="17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1"/>
      <c r="F241" s="17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1"/>
      <c r="F242" s="17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1"/>
      <c r="F243" s="17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1"/>
      <c r="F244" s="17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1"/>
      <c r="F245" s="17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1"/>
      <c r="F246" s="17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1"/>
      <c r="F247" s="17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1"/>
      <c r="F248" s="17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1"/>
      <c r="F249" s="17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1"/>
      <c r="F250" s="17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1"/>
      <c r="F251" s="17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1"/>
      <c r="F252" s="17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1"/>
      <c r="F253" s="17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1"/>
      <c r="F254" s="17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1"/>
      <c r="F255" s="17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1"/>
      <c r="F256" s="17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0" customWidth="1"/>
  </cols>
  <sheetData>
    <row r="1" spans="1:96" x14ac:dyDescent="0.2">
      <c r="A1" s="8"/>
      <c r="B1" s="8"/>
      <c r="C1" s="8"/>
      <c r="D1" s="8"/>
      <c r="E1" s="158"/>
      <c r="F1" s="8"/>
      <c r="G1" s="8"/>
    </row>
    <row r="2" spans="1:96" ht="14.25" x14ac:dyDescent="0.2">
      <c r="A2" s="8"/>
      <c r="B2" s="12"/>
      <c r="C2" s="27" t="s">
        <v>301</v>
      </c>
      <c r="D2" s="12"/>
      <c r="E2" s="159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0" customFormat="1" ht="14.25" x14ac:dyDescent="0.2">
      <c r="A3" s="11"/>
      <c r="B3" s="11"/>
      <c r="C3" s="59"/>
      <c r="D3" s="68"/>
      <c r="E3" s="160"/>
      <c r="F3" s="9"/>
      <c r="G3" s="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</row>
    <row r="4" spans="1:96" ht="6.75" customHeight="1" thickBot="1" x14ac:dyDescent="0.25">
      <c r="A4" s="8"/>
      <c r="B4" s="8"/>
      <c r="C4" s="7"/>
      <c r="D4" s="7"/>
      <c r="E4" s="161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94" t="s">
        <v>173</v>
      </c>
      <c r="C5" s="201" t="s">
        <v>25</v>
      </c>
      <c r="D5" s="195" t="s">
        <v>26</v>
      </c>
      <c r="E5" s="162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26" t="s">
        <v>147</v>
      </c>
      <c r="C6" s="124" t="s">
        <v>135</v>
      </c>
      <c r="D6" s="18" t="s">
        <v>136</v>
      </c>
      <c r="E6" s="165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1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317</v>
      </c>
      <c r="C2" s="13"/>
      <c r="D2" s="166"/>
      <c r="E2" s="161"/>
      <c r="F2" s="13"/>
      <c r="G2" s="27" t="s">
        <v>315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(((D6+D7+D10+D13)-('2018-DE'!D6+'2018-DE'!D7+'2018-DE'!D10+'2018-DE'!D13)+D22)/('2018-DE'!D6+'2018-DE'!D7+'2018-DE'!D10+'2018-DE'!D13))*100</f>
        <v>#DIV/0!</v>
      </c>
      <c r="I15" s="109">
        <f>IF(AND((D6+D7+D10+D13)=0,D22=0,('2018-DE'!D6+'2018-DE'!D7+'2018-DE'!D10+'2018-DE'!D13)=0),0, IF(('2018-DE'!D6+'2018-DE'!D7+'2018-DE'!D10+'2018-DE'!D13)=0,3,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316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0" customWidth="1"/>
    <col min="5" max="5" width="9.140625" style="170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8"/>
      <c r="E1" s="158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7" t="s">
        <v>305</v>
      </c>
      <c r="C2" s="13"/>
      <c r="D2" s="166"/>
      <c r="E2" s="161"/>
      <c r="F2" s="13"/>
      <c r="G2" s="27" t="s">
        <v>275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0" customFormat="1" ht="15" thickBot="1" x14ac:dyDescent="0.25">
      <c r="A3" s="11"/>
      <c r="B3" s="59"/>
      <c r="C3" s="9"/>
      <c r="D3" s="172"/>
      <c r="E3" s="172"/>
      <c r="F3" s="9"/>
      <c r="G3" s="59"/>
      <c r="H3" s="9"/>
      <c r="I3" s="9"/>
      <c r="J3" s="9"/>
      <c r="K3" s="9"/>
      <c r="L3" s="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4" spans="1:99" ht="7.5" customHeight="1" thickTop="1" thickBot="1" x14ac:dyDescent="0.25">
      <c r="A4" s="8"/>
      <c r="B4" s="7"/>
      <c r="C4" s="7"/>
      <c r="D4" s="161"/>
      <c r="E4" s="161"/>
      <c r="F4" s="64"/>
      <c r="G4" s="65"/>
      <c r="H4" s="66"/>
      <c r="I4" s="6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3" t="s">
        <v>25</v>
      </c>
      <c r="C5" s="195" t="s">
        <v>26</v>
      </c>
      <c r="D5" s="162" t="s">
        <v>66</v>
      </c>
      <c r="E5" s="161"/>
      <c r="F5" s="196" t="s">
        <v>49</v>
      </c>
      <c r="G5" s="202" t="s">
        <v>45</v>
      </c>
      <c r="H5" s="197" t="s">
        <v>46</v>
      </c>
      <c r="I5" s="198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126</v>
      </c>
      <c r="C6" s="16" t="s">
        <v>67</v>
      </c>
      <c r="D6" s="163"/>
      <c r="E6" s="161"/>
      <c r="F6" s="22">
        <v>1</v>
      </c>
      <c r="G6" s="19" t="s">
        <v>86</v>
      </c>
      <c r="H6" s="100" t="e">
        <f>((D20-D22)/(D6+D7+D8+D9+D10+D11+D12+D13))*100</f>
        <v>#DIV/0!</v>
      </c>
      <c r="I6" s="23">
        <f>IF((D6+D7+D8+D9+D10+D11+D12+D13)=0,0,IF((H6)&lt;=0,0,IF(H6&lt;1.5,1,IF(H6&gt;3,3,2))))</f>
        <v>0</v>
      </c>
      <c r="J6" s="2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9" t="s">
        <v>109</v>
      </c>
      <c r="C7" s="98"/>
      <c r="D7" s="163"/>
      <c r="E7" s="161"/>
      <c r="F7" s="22">
        <v>2</v>
      </c>
      <c r="G7" s="19" t="s">
        <v>87</v>
      </c>
      <c r="H7" s="100" t="e">
        <f>((D20-D22)/((D6+D7+D8+D9+D10+D11+D12+D13)-(D14+D15)))*100</f>
        <v>#DIV/0!</v>
      </c>
      <c r="I7" s="101">
        <f>IF(AND((D20-D22)&lt;0,(D6+D7+D8+D9+D10+D11+D12+D13-D14-D15)&lt;0),0,IF(D6+D7+D8+D9+D10+D11+D12+D13-D14-D15&lt;=0,0,IF((H7)&lt;=0,0,IF(H7&lt;1.7,1,IF(H7&gt;4,3,2)))))</f>
        <v>0</v>
      </c>
      <c r="J7" s="2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75</v>
      </c>
      <c r="C8" s="16" t="s">
        <v>68</v>
      </c>
      <c r="D8" s="163"/>
      <c r="E8" s="161"/>
      <c r="F8" s="22">
        <v>3</v>
      </c>
      <c r="G8" s="19" t="s">
        <v>24</v>
      </c>
      <c r="H8" s="100" t="e">
        <f>((D14+D15)/(D6+D7+D8+D9+D10+D11+D12+D13))*100</f>
        <v>#DIV/0!</v>
      </c>
      <c r="I8" s="101">
        <f>IF((D6+D7+D8+D9+D10+D11+D12+D13)=0,0,IF((H8)&gt;=100,0,IF(H8&lt;30,3,IF(H8&gt;50,1,2))))</f>
        <v>0</v>
      </c>
      <c r="J8" s="2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76</v>
      </c>
      <c r="C9" s="16" t="s">
        <v>69</v>
      </c>
      <c r="D9" s="163"/>
      <c r="E9" s="161"/>
      <c r="F9" s="22">
        <v>4</v>
      </c>
      <c r="G9" s="19" t="s">
        <v>104</v>
      </c>
      <c r="H9" s="100" t="e">
        <f>((D6+D7+D8+D9+D10+D11+D12+D13)-(D14+D15))/(D6+D7)</f>
        <v>#DIV/0!</v>
      </c>
      <c r="I9" s="101">
        <f>IF(AND((D6+D7)=0,(D6+D7+D8+D9+D10+D11+D12+D13-D14-D15)&lt;0),0,IF((D6+D7)=0,3,IF((H9)&lt;=0,0,IF(H9&lt;0.51,1,IF(H9&gt;1,3,2)))))</f>
        <v>3</v>
      </c>
      <c r="J9" s="2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9" t="s">
        <v>110</v>
      </c>
      <c r="C10" s="98"/>
      <c r="D10" s="163"/>
      <c r="E10" s="161"/>
      <c r="F10" s="22">
        <v>5</v>
      </c>
      <c r="G10" s="19" t="s">
        <v>88</v>
      </c>
      <c r="H10" s="110" t="e">
        <f>D19/D18</f>
        <v>#DIV/0!</v>
      </c>
      <c r="I10" s="101">
        <f>IF(AND(D18&lt;=0,D19&lt;=0),0,IF(D18&lt;=0,0,IF(H10&gt;1,0,IF(H10&lt;0.95,3,IF(H10&gt;0.99,1,2)))))</f>
        <v>0</v>
      </c>
      <c r="J10" s="29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77</v>
      </c>
      <c r="C11" s="16" t="s">
        <v>70</v>
      </c>
      <c r="D11" s="163"/>
      <c r="E11" s="161"/>
      <c r="F11" s="22">
        <v>6</v>
      </c>
      <c r="G11" s="19" t="s">
        <v>89</v>
      </c>
      <c r="H11" s="100" t="e">
        <f>(D11/D18)*360</f>
        <v>#DIV/0!</v>
      </c>
      <c r="I11" s="101">
        <f>IF(AND(D18&lt;=0,D11&lt;=0),1,IF(D18&lt;=0,1,IF(D11&lt;=0,1,IF(H11&lt;40,3,IF(H11&gt;70,1,2)))))</f>
        <v>1</v>
      </c>
      <c r="J11" s="29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271</v>
      </c>
      <c r="C12" s="16" t="s">
        <v>71</v>
      </c>
      <c r="D12" s="163"/>
      <c r="E12" s="161"/>
      <c r="F12" s="22">
        <v>7</v>
      </c>
      <c r="G12" s="19" t="s">
        <v>90</v>
      </c>
      <c r="H12" s="100" t="e">
        <f>D18/(D6+D7+D8+D9+D10+D11+D12+D13)</f>
        <v>#DIV/0!</v>
      </c>
      <c r="I12" s="101">
        <f>IF(AND(D18&lt;=0,(D6+D7+D8+D9+D10+D11+D12+D13)&lt;=0),1,IF((D6+D7+D8+D9+D10+D11+D12+D13)&lt;=0,1,IF(H12&lt;0.3,1,IF(H12&gt;1,3,2))))</f>
        <v>1</v>
      </c>
      <c r="J12" s="29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108</v>
      </c>
      <c r="C13" s="16" t="s">
        <v>72</v>
      </c>
      <c r="D13" s="163"/>
      <c r="E13" s="161"/>
      <c r="F13" s="22">
        <v>8</v>
      </c>
      <c r="G13" s="19" t="s">
        <v>139</v>
      </c>
      <c r="H13" s="100" t="e">
        <f>(D12+D8+D9+D10)/D14</f>
        <v>#DIV/0!</v>
      </c>
      <c r="I13" s="101">
        <f>IF(AND(D14&lt;=0,(D12+D8+D9+D10)&lt;=0),1,IF(D14&lt;=0,3,IF(H13&lt;0.7,1,IF(H13&gt;1.5,3,2))))</f>
        <v>1</v>
      </c>
      <c r="J13" s="29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145</v>
      </c>
      <c r="C14" s="16" t="s">
        <v>73</v>
      </c>
      <c r="D14" s="163"/>
      <c r="E14" s="161"/>
      <c r="F14" s="22">
        <v>9</v>
      </c>
      <c r="G14" s="19" t="s">
        <v>91</v>
      </c>
      <c r="H14" s="100" t="e">
        <f>(D14+D15)/D20</f>
        <v>#DIV/0!</v>
      </c>
      <c r="I14" s="101">
        <f>IF(AND((D14+D15)=0,D20&gt;0),3,IF(D20&lt;=0,0,IF(H14&gt;7,1,IF(H14&lt;0,0,IF(H14&lt;5,3,2)))))</f>
        <v>0</v>
      </c>
      <c r="J14" s="29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4</v>
      </c>
      <c r="C15" s="18" t="s">
        <v>74</v>
      </c>
      <c r="D15" s="165"/>
      <c r="E15" s="161"/>
      <c r="F15" s="106">
        <v>10</v>
      </c>
      <c r="G15" s="107" t="s">
        <v>138</v>
      </c>
      <c r="H15" s="108" t="e">
        <f>(((D6+D7+D10+D13)-('2017-DE'!D6+'2017-DE'!D7+'2017-DE'!D10+'2017-DE'!D13)+D22)/('2017-DE'!D6+'2017-DE'!D7+'2017-DE'!D10+'2017-DE'!D13))*100</f>
        <v>#DIV/0!</v>
      </c>
      <c r="I15" s="109">
        <f>IF(AND((D6+D7+D10+D13)=0,D22=0,('2017-DE'!D6+'2017-DE'!D7+'2017-DE'!D10+'2017-DE'!D13)=0),0, IF(('2017-DE'!D6+'2017-DE'!D7+'2017-DE'!D10+'2017-DE'!D13)=0,3, IF(H15&lt;=0,0, IF(H15&lt;2.51,1, IF(H15&gt;5,3,2)))))</f>
        <v>0</v>
      </c>
      <c r="J15" s="29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8"/>
      <c r="D16" s="177"/>
      <c r="E16" s="161"/>
      <c r="F16" s="24" t="s">
        <v>53</v>
      </c>
      <c r="G16" s="25" t="s">
        <v>276</v>
      </c>
      <c r="H16" s="25"/>
      <c r="I16" s="26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3" t="s">
        <v>25</v>
      </c>
      <c r="C17" s="195" t="s">
        <v>26</v>
      </c>
      <c r="D17" s="162" t="s">
        <v>78</v>
      </c>
      <c r="E17" s="161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113</v>
      </c>
      <c r="C18" s="16" t="s">
        <v>79</v>
      </c>
      <c r="D18" s="163"/>
      <c r="E18" s="161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114</v>
      </c>
      <c r="C19" s="16" t="s">
        <v>80</v>
      </c>
      <c r="D19" s="163"/>
      <c r="E19" s="161"/>
      <c r="F19" s="8"/>
      <c r="G19" s="38" t="s">
        <v>84</v>
      </c>
      <c r="H19" s="39"/>
      <c r="I19" s="35"/>
      <c r="J19" s="35"/>
      <c r="K19" s="35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141</v>
      </c>
      <c r="C20" s="18" t="s">
        <v>51</v>
      </c>
      <c r="D20" s="165"/>
      <c r="E20" s="161"/>
      <c r="F20" s="8"/>
      <c r="G20" s="40" t="s">
        <v>105</v>
      </c>
      <c r="H20" s="41"/>
      <c r="I20" s="35"/>
      <c r="J20" s="35"/>
      <c r="K20" s="35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8"/>
      <c r="D21" s="177"/>
      <c r="E21" s="178"/>
      <c r="F21" s="7"/>
      <c r="G21" s="42" t="s">
        <v>106</v>
      </c>
      <c r="H21" s="43"/>
      <c r="I21" s="37"/>
      <c r="J21" s="37"/>
      <c r="K21" s="35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3" t="s">
        <v>81</v>
      </c>
      <c r="C22" s="34" t="s">
        <v>82</v>
      </c>
      <c r="D22" s="179"/>
      <c r="E22" s="178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0"/>
      <c r="F23" s="7"/>
      <c r="G23" s="38" t="s">
        <v>83</v>
      </c>
      <c r="H23" s="44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0"/>
      <c r="F24" s="7"/>
      <c r="G24" s="40" t="s">
        <v>334</v>
      </c>
      <c r="H24" s="45"/>
      <c r="I24" s="36"/>
      <c r="J24" s="10"/>
      <c r="K24" s="3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8"/>
      <c r="D25" s="177"/>
      <c r="E25" s="180"/>
      <c r="F25" s="7"/>
      <c r="G25" s="42" t="s">
        <v>335</v>
      </c>
      <c r="H25" s="46"/>
      <c r="I25" s="36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8"/>
      <c r="D26" s="177"/>
      <c r="E26" s="18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8"/>
      <c r="D27" s="177"/>
      <c r="E27" s="180"/>
      <c r="F27" s="7"/>
      <c r="G27" s="47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8"/>
      <c r="D28" s="177"/>
      <c r="E28" s="18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8"/>
      <c r="D29" s="177"/>
      <c r="E29" s="180"/>
      <c r="F29" s="7"/>
      <c r="G29" s="10" t="s">
        <v>111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9"/>
      <c r="C30" s="31"/>
      <c r="D30" s="181"/>
      <c r="E30" s="180"/>
      <c r="F30" s="7"/>
      <c r="G30" s="10" t="s">
        <v>112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9"/>
      <c r="C31" s="31"/>
      <c r="D31" s="181"/>
      <c r="E31" s="18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9"/>
      <c r="C32" s="31"/>
      <c r="D32" s="181"/>
      <c r="E32" s="18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9"/>
      <c r="C33" s="31"/>
      <c r="D33" s="181"/>
      <c r="E33" s="18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9"/>
      <c r="C34" s="31"/>
      <c r="D34" s="181"/>
      <c r="E34" s="18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9"/>
      <c r="C35" s="31"/>
      <c r="D35" s="181"/>
      <c r="E35" s="18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9"/>
      <c r="C36" s="31"/>
      <c r="D36" s="181"/>
      <c r="E36" s="18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9"/>
      <c r="C37" s="31"/>
      <c r="D37" s="181"/>
      <c r="E37" s="18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9"/>
      <c r="C38" s="31"/>
      <c r="D38" s="181"/>
      <c r="E38" s="18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9"/>
      <c r="C39" s="31"/>
      <c r="D39" s="181"/>
      <c r="E39" s="18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9"/>
      <c r="C40" s="32"/>
      <c r="D40" s="180"/>
      <c r="E40" s="18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9"/>
      <c r="C41" s="32"/>
      <c r="D41" s="180"/>
      <c r="E41" s="18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1"/>
      <c r="E42" s="161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1"/>
      <c r="E43" s="1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1"/>
      <c r="E44" s="1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1"/>
      <c r="E45" s="1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1"/>
      <c r="E46" s="1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1"/>
      <c r="E47" s="1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1"/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1"/>
      <c r="E49" s="1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1"/>
      <c r="E50" s="1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1"/>
      <c r="E51" s="1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1"/>
      <c r="E52" s="1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1"/>
      <c r="E53" s="1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1"/>
      <c r="E54" s="1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1"/>
      <c r="E55" s="1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1"/>
      <c r="E56" s="1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1"/>
      <c r="E57" s="1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1"/>
      <c r="E58" s="1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1"/>
      <c r="E59" s="1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1"/>
      <c r="E60" s="1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1"/>
      <c r="E61" s="1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1"/>
      <c r="E62" s="1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1"/>
      <c r="E63" s="1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1"/>
      <c r="E64" s="1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1"/>
      <c r="E65" s="1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1"/>
      <c r="E66" s="1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1"/>
      <c r="E67" s="1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1"/>
      <c r="E68" s="1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1"/>
      <c r="E69" s="1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1"/>
      <c r="E70" s="1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1"/>
      <c r="E71" s="1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1"/>
      <c r="E72" s="1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1"/>
      <c r="E73" s="1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1"/>
      <c r="E74" s="1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1"/>
      <c r="E75" s="1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1"/>
      <c r="E76" s="1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1"/>
      <c r="E77" s="1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1"/>
      <c r="E78" s="1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1"/>
      <c r="E79" s="1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1"/>
      <c r="E80" s="1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1"/>
      <c r="E81" s="1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1"/>
      <c r="E82" s="1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1"/>
      <c r="E83" s="1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1"/>
      <c r="E84" s="1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1"/>
      <c r="E85" s="1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1"/>
      <c r="E86" s="1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1"/>
      <c r="E87" s="1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1"/>
      <c r="E88" s="1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1"/>
      <c r="E89" s="1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1"/>
      <c r="E90" s="1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1"/>
      <c r="E91" s="1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1"/>
      <c r="E92" s="1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1"/>
      <c r="E93" s="1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1"/>
      <c r="E94" s="1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1"/>
      <c r="E95" s="1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1"/>
      <c r="E96" s="1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1"/>
      <c r="E97" s="1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1"/>
      <c r="E98" s="1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1"/>
      <c r="E99" s="1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1"/>
      <c r="E100" s="1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1"/>
      <c r="E101" s="1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1"/>
      <c r="E102" s="1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1"/>
      <c r="E103" s="1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1"/>
      <c r="E104" s="1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1"/>
      <c r="E105" s="1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1"/>
      <c r="E106" s="1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1"/>
      <c r="E107" s="1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1"/>
      <c r="E108" s="1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1"/>
      <c r="E109" s="1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1"/>
      <c r="E110" s="1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1"/>
      <c r="E111" s="1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1"/>
      <c r="E112" s="1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1"/>
      <c r="E113" s="1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1"/>
      <c r="E114" s="1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1"/>
      <c r="E115" s="1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1"/>
      <c r="E116" s="1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1"/>
      <c r="E117" s="1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1"/>
      <c r="E118" s="1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1"/>
      <c r="E119" s="1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1"/>
      <c r="E120" s="1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1"/>
      <c r="E121" s="1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1"/>
      <c r="E122" s="1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1"/>
      <c r="E123" s="1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1"/>
      <c r="E124" s="1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1"/>
      <c r="E125" s="1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1"/>
      <c r="E126" s="1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1"/>
      <c r="E127" s="1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1"/>
      <c r="E128" s="1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1"/>
      <c r="E129" s="1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1"/>
      <c r="E130" s="1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1"/>
      <c r="E131" s="1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1"/>
      <c r="E132" s="1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1"/>
      <c r="E133" s="1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1"/>
      <c r="E134" s="1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1"/>
      <c r="E135" s="1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1"/>
      <c r="E136" s="1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1"/>
      <c r="E137" s="1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1"/>
      <c r="E138" s="1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1"/>
      <c r="E139" s="1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1"/>
      <c r="E140" s="1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1"/>
      <c r="E141" s="1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1"/>
      <c r="E142" s="1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1"/>
      <c r="E143" s="1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1"/>
      <c r="E144" s="1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1"/>
      <c r="E145" s="1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1"/>
      <c r="E146" s="1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1"/>
      <c r="E147" s="1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1"/>
      <c r="E148" s="1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1"/>
      <c r="E149" s="1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1"/>
      <c r="E150" s="1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1"/>
      <c r="E151" s="1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1"/>
      <c r="E152" s="1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1"/>
      <c r="E153" s="1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1"/>
      <c r="E154" s="1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1"/>
      <c r="E155" s="1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1"/>
      <c r="E156" s="1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1"/>
      <c r="E157" s="1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1"/>
      <c r="E158" s="1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1"/>
      <c r="E159" s="1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1"/>
      <c r="E160" s="1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1"/>
      <c r="E161" s="1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1"/>
      <c r="E162" s="1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1"/>
      <c r="E163" s="1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1"/>
      <c r="E164" s="1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1"/>
      <c r="E165" s="1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1"/>
      <c r="E166" s="1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1"/>
      <c r="E167" s="1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1"/>
      <c r="E168" s="1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1"/>
      <c r="E169" s="1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1"/>
      <c r="E170" s="1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1"/>
      <c r="E171" s="1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1"/>
      <c r="E172" s="1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1"/>
      <c r="E173" s="1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1"/>
      <c r="E174" s="1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1"/>
      <c r="E175" s="1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1"/>
      <c r="E176" s="1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1"/>
      <c r="E177" s="1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1"/>
      <c r="E178" s="1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1"/>
      <c r="E179" s="1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1"/>
      <c r="E180" s="1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1"/>
      <c r="E181" s="1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1"/>
      <c r="E182" s="1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1"/>
      <c r="E183" s="1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1"/>
      <c r="E184" s="1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1"/>
      <c r="E185" s="1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1"/>
      <c r="E186" s="1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1"/>
      <c r="E187" s="1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1"/>
      <c r="E188" s="1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1"/>
      <c r="E189" s="1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1"/>
      <c r="E190" s="1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1"/>
      <c r="E191" s="1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1"/>
      <c r="E192" s="1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1"/>
      <c r="E193" s="1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1"/>
      <c r="E194" s="1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1"/>
      <c r="E195" s="1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1"/>
      <c r="E196" s="1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1"/>
      <c r="E197" s="1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1"/>
      <c r="E198" s="1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1"/>
      <c r="E199" s="1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1"/>
      <c r="E200" s="1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1"/>
      <c r="E201" s="1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1"/>
      <c r="E202" s="1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1"/>
      <c r="E203" s="1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1"/>
      <c r="E204" s="1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1"/>
      <c r="E205" s="1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1"/>
      <c r="E206" s="1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1"/>
      <c r="E207" s="1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1"/>
      <c r="E208" s="1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1"/>
      <c r="E209" s="1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1"/>
      <c r="E210" s="1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1"/>
      <c r="E211" s="1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1"/>
      <c r="E212" s="1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1"/>
      <c r="E213" s="1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1"/>
      <c r="E214" s="1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1"/>
      <c r="E215" s="1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1"/>
      <c r="E216" s="1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1"/>
      <c r="E217" s="1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1"/>
      <c r="E218" s="1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1"/>
      <c r="E219" s="1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1"/>
      <c r="E220" s="1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1"/>
      <c r="E221" s="1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1"/>
      <c r="E222" s="1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1"/>
      <c r="E223" s="1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1"/>
      <c r="E224" s="1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1"/>
      <c r="E225" s="1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1"/>
      <c r="E226" s="1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1"/>
      <c r="E227" s="1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1"/>
      <c r="E228" s="1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1"/>
      <c r="E229" s="1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1"/>
      <c r="E230" s="1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1"/>
      <c r="E231" s="1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1"/>
      <c r="E232" s="1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1"/>
      <c r="E233" s="1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1"/>
      <c r="E234" s="1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1"/>
      <c r="E235" s="1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1"/>
      <c r="E236" s="1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1"/>
      <c r="E237" s="1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1"/>
      <c r="E238" s="1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1"/>
      <c r="E239" s="1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1"/>
      <c r="E240" s="1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1"/>
      <c r="E241" s="1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1"/>
      <c r="E242" s="1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1"/>
      <c r="E243" s="1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1"/>
      <c r="E244" s="1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1"/>
      <c r="E245" s="1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1"/>
      <c r="E246" s="1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1"/>
      <c r="E247" s="1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1"/>
      <c r="E248" s="1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1"/>
      <c r="E249" s="1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1"/>
      <c r="E250" s="1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1"/>
      <c r="E251" s="1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1"/>
      <c r="E252" s="1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1"/>
      <c r="E253" s="1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1"/>
      <c r="E254" s="1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postup</vt:lpstr>
      <vt:lpstr>2019-ÚČ</vt:lpstr>
      <vt:lpstr>2018-ÚČ</vt:lpstr>
      <vt:lpstr>2017-ÚČ</vt:lpstr>
      <vt:lpstr>2016-ÚČ</vt:lpstr>
      <vt:lpstr>2015-ÚČ</vt:lpstr>
      <vt:lpstr>2014-ÚČ</vt:lpstr>
      <vt:lpstr>2019-DE</vt:lpstr>
      <vt:lpstr>2018-DE</vt:lpstr>
      <vt:lpstr>2017-DE</vt:lpstr>
      <vt:lpstr>2016-DE</vt:lpstr>
      <vt:lpstr>2015-DE</vt:lpstr>
      <vt:lpstr>2014-DE</vt:lpstr>
      <vt:lpstr>bodování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home3</cp:lastModifiedBy>
  <cp:lastPrinted>2007-02-07T13:11:42Z</cp:lastPrinted>
  <dcterms:created xsi:type="dcterms:W3CDTF">1997-01-24T11:07:25Z</dcterms:created>
  <dcterms:modified xsi:type="dcterms:W3CDTF">2021-01-15T10:07:03Z</dcterms:modified>
</cp:coreProperties>
</file>